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15180" windowHeight="8820" tabRatio="903" activeTab="0"/>
  </bookViews>
  <sheets>
    <sheet name="Retribuciones 2021" sheetId="1" r:id="rId1"/>
    <sheet name="Funcionarios 2021" sheetId="2" r:id="rId2"/>
    <sheet name="Laborales 2021" sheetId="3" r:id="rId3"/>
    <sheet name="Alta Dirección 2021" sheetId="4" r:id="rId4"/>
  </sheets>
  <externalReferences>
    <externalReference r:id="rId7"/>
  </externalReferences>
  <definedNames>
    <definedName name="_xlnm.Print_Area" localSheetId="3">'Alta Dirección 2021'!$A$1:$F$4</definedName>
    <definedName name="_xlnm.Print_Area" localSheetId="1">'Funcionarios 2021'!$A$1:$O$60</definedName>
    <definedName name="_xlnm.Print_Area" localSheetId="2">'Laborales 2021'!$A$1:$N$63</definedName>
    <definedName name="REFSALDESTINO">'[1]REFERENCIAS'!$A$11:$B$42</definedName>
    <definedName name="REFSALGRUPO">'[1]REFERENCIAS'!$A$3:$D$9</definedName>
    <definedName name="SALDESTINO">#REF!</definedName>
    <definedName name="saldestino1">#REF!</definedName>
    <definedName name="SALGRUPO">#REF!</definedName>
    <definedName name="salgrupo1">#REF!</definedName>
  </definedNames>
  <calcPr fullCalcOnLoad="1"/>
</workbook>
</file>

<file path=xl/sharedStrings.xml><?xml version="1.0" encoding="utf-8"?>
<sst xmlns="http://schemas.openxmlformats.org/spreadsheetml/2006/main" count="288" uniqueCount="156">
  <si>
    <t>Categoría Prof.</t>
  </si>
  <si>
    <t>Gr.</t>
  </si>
  <si>
    <t>Nº Contratos</t>
  </si>
  <si>
    <t>Sueldo anual</t>
  </si>
  <si>
    <t>Pagas extras</t>
  </si>
  <si>
    <t>Gerente</t>
  </si>
  <si>
    <t>Denom. del Puesto</t>
  </si>
  <si>
    <t>Gr</t>
  </si>
  <si>
    <t>Sdo. Base</t>
  </si>
  <si>
    <t>Total Retrib. Básicas</t>
  </si>
  <si>
    <t>Resid.</t>
  </si>
  <si>
    <t>Unidad Técnica de Diseño Gráfico de Recursos Hidráulicos</t>
  </si>
  <si>
    <t>Programador de Apoyo Informático a usuarios</t>
  </si>
  <si>
    <t>Técn. Aux. de Control de Infraestructura</t>
  </si>
  <si>
    <t>Técn. Aux. de Control de Ejecución de Obras I</t>
  </si>
  <si>
    <t>Vigilante de Recursos I</t>
  </si>
  <si>
    <t>Vigilante de Obras II</t>
  </si>
  <si>
    <t>Vigilante de Recursos II</t>
  </si>
  <si>
    <t>Ordenanza Conductor I</t>
  </si>
  <si>
    <t>Vigilante de Obras IV</t>
  </si>
  <si>
    <t>Auxiliar Administrativo de Comunicaciones con el Exterior</t>
  </si>
  <si>
    <t>Programador de Gestión y Mantenimiento de la Información II</t>
  </si>
  <si>
    <t>Técnico Especialista de Control de Calidad Ambiental</t>
  </si>
  <si>
    <t>Auxiliar Administrativo de Apoyo Administrativo de Infraestructura I</t>
  </si>
  <si>
    <t>Auxliar Administrativo de Apoyo Admtvo. de Recursos Hidráulicos II</t>
  </si>
  <si>
    <t>Auxiliar Administrativo de Apoyo Administrativo de Infraestructura II</t>
  </si>
  <si>
    <t>Programador de Gestión y Mantenimiento de la Información I</t>
  </si>
  <si>
    <t>Auxliar Administrativo de Apoyo Admtvo. de Recursos Hidráulicos III</t>
  </si>
  <si>
    <t>Auxiliar Administrativo de Apoyo Administrativo de Infraestructura VI</t>
  </si>
  <si>
    <t>Auxiliar Administrativo de Personal</t>
  </si>
  <si>
    <t>Facultativo Superior de Sistemas de Infomación Geográfica II</t>
  </si>
  <si>
    <t>Cód Pto</t>
  </si>
  <si>
    <t>TOTAL RETRIB.</t>
  </si>
  <si>
    <t>Jefe del Área de Recursos Hidráulicos</t>
  </si>
  <si>
    <t>Jefe del  Área de Infraestructura Hidráulica</t>
  </si>
  <si>
    <t>Jefe del  Dpto. de Aguas Superficiales</t>
  </si>
  <si>
    <t>B</t>
  </si>
  <si>
    <t>Jefe de la Sección Administrativa de Contratación</t>
  </si>
  <si>
    <t>Jefe del  Dpto.  de Gestión Económica</t>
  </si>
  <si>
    <t>Jefe de la Sección Técnica de  Recursos Subterráneos I</t>
  </si>
  <si>
    <t>Jefe de la  Sección Técnica de Recursos Subterráneos II</t>
  </si>
  <si>
    <t>Unidad Técnica de  Diseño Gráfico de Infraestructura</t>
  </si>
  <si>
    <t>Auxiliar Administrativo de apoyo a la Secretaría</t>
  </si>
  <si>
    <t>Jefe de la Sección Técnica de Recursos Subterráneos III</t>
  </si>
  <si>
    <t>Jefe de la Sección de Gestión Administrativa de Recursos Hidráulicos</t>
  </si>
  <si>
    <t>Jefe de la Sección Técnica de Control de Obras de Encauzamiento</t>
  </si>
  <si>
    <t>Puntos C.E.</t>
  </si>
  <si>
    <t>GRUPO</t>
  </si>
  <si>
    <t>Nivel C.D.</t>
  </si>
  <si>
    <t xml:space="preserve">Puntos C.E. </t>
  </si>
  <si>
    <t>Técnico de la  Unidad Técnica de Inspección de Servicios Exteriores</t>
  </si>
  <si>
    <t>Unidad Básica de Control de Cauces</t>
  </si>
  <si>
    <t>Vigilante de Obras VI</t>
  </si>
  <si>
    <t>Vigilante de Obras VII</t>
  </si>
  <si>
    <t>Vigilante de Recursos VI</t>
  </si>
  <si>
    <t>Ordenanza Conductor II</t>
  </si>
  <si>
    <t>Jefe del Dto. de Gestión Administrativa de Infraestructura</t>
  </si>
  <si>
    <t>Auxiliar Administrativo  de apoyo a la Intervención</t>
  </si>
  <si>
    <t>Auxiliar Administrativo de Contratación</t>
  </si>
  <si>
    <t>Técnico de la Unidad Técnica de Análisis Territorial</t>
  </si>
  <si>
    <t>Ordenanza Conductor III</t>
  </si>
  <si>
    <t>Auxiliar Administrativo de Apoyo Administrativo de Infraestructura VII</t>
  </si>
  <si>
    <t>Auxliar Administrativo de Apoyo Admtvo. de Recursos Hidráulicos IV</t>
  </si>
  <si>
    <t>A1</t>
  </si>
  <si>
    <t>A1/A2</t>
  </si>
  <si>
    <t>A2</t>
  </si>
  <si>
    <t>C1</t>
  </si>
  <si>
    <t>C2</t>
  </si>
  <si>
    <t>Jefe de la Sección Técnica de Presupuestos y Contabilidad</t>
  </si>
  <si>
    <t>SUELDO</t>
  </si>
  <si>
    <t>E</t>
  </si>
  <si>
    <t>RESIDENCIA</t>
  </si>
  <si>
    <t xml:space="preserve">Auxliar Administrativo de Apoyo Admtvo. A la Gerencia </t>
  </si>
  <si>
    <t>Nivel</t>
  </si>
  <si>
    <t>Complemento de Destino</t>
  </si>
  <si>
    <t>VALOR PUNTO C. E.</t>
  </si>
  <si>
    <t>Técnico Auxiliar de Informatica</t>
  </si>
  <si>
    <t>A2/C1</t>
  </si>
  <si>
    <t>TRIENIOS</t>
  </si>
  <si>
    <t>Importe</t>
  </si>
  <si>
    <t>Total Retrib. Compl.</t>
  </si>
  <si>
    <t>Compl. Destino</t>
  </si>
  <si>
    <t>Compl. Especif.</t>
  </si>
  <si>
    <t>Jefe del Departamento de Recursos Subterráneos</t>
  </si>
  <si>
    <t>Jefe de la Sección Técnica de Actuaciones en Cauces I</t>
  </si>
  <si>
    <t>Jefe de la SecciónTécnica de Programación de Infraestructuras</t>
  </si>
  <si>
    <t>Técnico de la Sección Técnica de Explotación Infraestructuras I</t>
  </si>
  <si>
    <t>Auxiliar Administrativo de Subvenciones</t>
  </si>
  <si>
    <t>Auxiliar Administrativo de Contratación II</t>
  </si>
  <si>
    <t>Auxiliar Administrativo de Apoyo Admtvo. de Recursos Hidráulicos I</t>
  </si>
  <si>
    <t>Técnico Superior en Sistemas de Información I</t>
  </si>
  <si>
    <t>Auxiliar Administrativo de Personal II</t>
  </si>
  <si>
    <t>Técnico de la Ud Técnica de Explotación Infraestructuras III</t>
  </si>
  <si>
    <t>Auxiliar Administrativo de Apoyo Administrativo de Infraestructura IV</t>
  </si>
  <si>
    <t>Auxiliar Administrativo de Apoyo Administrativo de Infraestructura V</t>
  </si>
  <si>
    <t>Auxiliar Administrativo de Apoyo Advo. Recursos Hidráulicos V</t>
  </si>
  <si>
    <t>Auxiliar Administrativo de Gestión Económica I</t>
  </si>
  <si>
    <t>Auxiliar Administrativo de Gestión Económica II</t>
  </si>
  <si>
    <t>Auxiliar Administrativo de Comunicaciones con el Exterior II</t>
  </si>
  <si>
    <t>Auxiliar Administrativo de Apoyo Administrativo de Infraestructura</t>
  </si>
  <si>
    <t>Auxiliar Administrativo de Gestión Económica III</t>
  </si>
  <si>
    <t>Jefe de la Sección de Personal</t>
  </si>
  <si>
    <t>Jefe de Servicio del Área de Administración</t>
  </si>
  <si>
    <t>Técnico de la Unidad Técnica de la Sección de Personal</t>
  </si>
  <si>
    <t>Técnico de la Unidad Administrativa de Infraestructura</t>
  </si>
  <si>
    <t>Auxiliar Técnico de Servicios</t>
  </si>
  <si>
    <t>Jefe de la Sección Administrativa de Gestión Administrativa de Infraestructura</t>
  </si>
  <si>
    <t>Jefe de la Sección Técnica de Proyectos Transversales I</t>
  </si>
  <si>
    <t>Técnico de la Sección Técnica de Gestión d e Obras</t>
  </si>
  <si>
    <t xml:space="preserve">Técnico de Control de Ejecución de Obras </t>
  </si>
  <si>
    <t>Técnico de Control de Explotación de Infraestructuras I</t>
  </si>
  <si>
    <t>Técnico de Control de Explotación de Infraestructuras II</t>
  </si>
  <si>
    <t>Jefe de la Sección Técnica de Proyectos Transversales II</t>
  </si>
  <si>
    <t>Técnico de la Sección Técnica de Gestión de Datos Hidrológicos</t>
  </si>
  <si>
    <t>Vigilante de Recursos III</t>
  </si>
  <si>
    <t>Vigilante de Recursos IV</t>
  </si>
  <si>
    <t>Auxiliar Administrativo de Gerencia II</t>
  </si>
  <si>
    <t>Total Paga Extras</t>
  </si>
  <si>
    <t>Auxiliar Administrativo de Contratación III</t>
  </si>
  <si>
    <t>Jefe/a de la Unidad Técnica de la Sección de Patrimonio</t>
  </si>
  <si>
    <t>Vigilante de Sistemas</t>
  </si>
  <si>
    <t>Vigilante de Recursos Subterráneos</t>
  </si>
  <si>
    <t>Técnico de Control de Explotación de Infraestructuras IV</t>
  </si>
  <si>
    <t>Técnico de la Sección Técnica de Gestión de Obras de Sistemas I</t>
  </si>
  <si>
    <t>Técnico de la Sección Técnica de Gestión de Obras de Sistemas II</t>
  </si>
  <si>
    <t>Jefe/a de Sección Técnica de Proyectos y Planes</t>
  </si>
  <si>
    <t>Técnico de la Unidad Técnica de Control de Proyectos Externos II</t>
  </si>
  <si>
    <t>Técnico de la Unidad Técnica de Control de Proyectos I</t>
  </si>
  <si>
    <t>Jefe/a de la Sección  de Gestión Administrativa de  Recursos Hidráulicos II</t>
  </si>
  <si>
    <t>Fecha de la ultima actualización de la información del indicador</t>
  </si>
  <si>
    <t xml:space="preserve">Periodicidad de la actualización del indicador </t>
  </si>
  <si>
    <t>Semestral o cuando existan modificaciones</t>
  </si>
  <si>
    <t>CONCEPTOS SALARIALES Y VALORES DE REFERENCIA PARA FUNCIONARIOS/AS Y LABORALES DEL ORGANISMO</t>
  </si>
  <si>
    <t xml:space="preserve">Pagas Extras
SB+CD   /   100% CE   </t>
  </si>
  <si>
    <t xml:space="preserve">Pagas Extras
SB+CD     /   100% CE   </t>
  </si>
  <si>
    <t>PERSONAL DE ALTA DIRECCIÓN</t>
  </si>
  <si>
    <t>PERSONAL FUNCIONARIO</t>
  </si>
  <si>
    <t>PERSONAL LABORAL</t>
  </si>
  <si>
    <t>PUNTO COND. DE TRABAJO</t>
  </si>
  <si>
    <t>PUNTO COMPL. FUNCIONAL</t>
  </si>
  <si>
    <t>Técnico/a de la Unidad Téncica de Recursos Subterráneos</t>
  </si>
  <si>
    <t>Técnico/a de Control de Ejecución de Obras I</t>
  </si>
  <si>
    <t>Vigilante de Recursos Subterráneos II</t>
  </si>
  <si>
    <t>ENERO A DICIEMBRE 2021 SEGÚN ANEXO PERSONAL (+aumento del 0,9% de retribuciones))</t>
  </si>
  <si>
    <t>01/04/2021</t>
  </si>
  <si>
    <t>Técnico/a de la Sección Técnica de  Informática</t>
  </si>
  <si>
    <t>Jefe/a de la  Unidad Técnica de Estudios y Proyectos I</t>
  </si>
  <si>
    <t>Jefe/a de la Unidad Técnica de Actuaciones en Cauces II</t>
  </si>
  <si>
    <t>Técnico/a de la Unidad Técnica de Actuaciones en Cauces I</t>
  </si>
  <si>
    <t>Técnico/a de la Unidad Administrativa de Control de Contratación</t>
  </si>
  <si>
    <t>Jefe/a de la Unidad Técnica de Control de Proyectos Externos I</t>
  </si>
  <si>
    <t>Jefe/a de la Unidad Técnica de Actuaciones en Cauces IV</t>
  </si>
  <si>
    <t>Jefe/a de Departamento de Explotación de Infraestructura</t>
  </si>
  <si>
    <t>Jefe/a de la Unidad Técnica de Actuaciones en Cauces III</t>
  </si>
  <si>
    <t>Jefe/a de la Unidad Técnica de Estudios y Proyectos II</t>
  </si>
  <si>
    <t>Técnico/a de la Unidad Técnica de Control de Proyectos II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</si>
</sst>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0.0000%"/>
    <numFmt numFmtId="168" formatCode="dd/mm/yyyy;@"/>
    <numFmt numFmtId="169" formatCode="#,##0.00;\-#,##0.00;"/>
    <numFmt numFmtId="170" formatCode="#,##0.00_ ;[Red]\-#,##0.00\ "/>
    <numFmt numFmtId="171" formatCode="0.0%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mmm\-yyyy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_ ;\-#,##0.00\ "/>
    <numFmt numFmtId="186" formatCode="#,##0.00\ &quot;€&quot;"/>
    <numFmt numFmtId="187" formatCode="0.00_ ;\-0.00\ 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7"/>
      <color indexed="10"/>
      <name val="Arial"/>
      <family val="2"/>
    </font>
    <font>
      <sz val="7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10" fillId="0" borderId="0" xfId="51" applyNumberFormat="1" applyFont="1" applyFill="1" applyAlignment="1">
      <alignment horizontal="right" vertical="justify"/>
    </xf>
    <xf numFmtId="4" fontId="11" fillId="0" borderId="0" xfId="51" applyNumberFormat="1" applyFont="1" applyFill="1" applyAlignment="1">
      <alignment horizontal="right" vertical="justify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6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2" fontId="7" fillId="32" borderId="0" xfId="0" applyNumberFormat="1" applyFont="1" applyFill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top"/>
    </xf>
    <xf numFmtId="0" fontId="6" fillId="0" borderId="0" xfId="0" applyFont="1" applyFill="1" applyAlignment="1">
      <alignment horizontal="right"/>
    </xf>
    <xf numFmtId="10" fontId="7" fillId="0" borderId="0" xfId="0" applyNumberFormat="1" applyFont="1" applyFill="1" applyAlignment="1">
      <alignment/>
    </xf>
    <xf numFmtId="10" fontId="6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0" fontId="6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4" fontId="14" fillId="0" borderId="0" xfId="51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6" fillId="0" borderId="0" xfId="51" applyNumberFormat="1" applyFont="1" applyFill="1" applyAlignment="1">
      <alignment/>
    </xf>
    <xf numFmtId="0" fontId="0" fillId="0" borderId="0" xfId="0" applyFill="1" applyAlignment="1">
      <alignment horizontal="left" vertical="justify"/>
    </xf>
    <xf numFmtId="4" fontId="0" fillId="0" borderId="0" xfId="0" applyNumberFormat="1" applyFill="1" applyAlignment="1">
      <alignment horizontal="left" vertical="justify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51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60" fillId="35" borderId="0" xfId="0" applyFont="1" applyFill="1" applyAlignment="1">
      <alignment/>
    </xf>
    <xf numFmtId="0" fontId="60" fillId="36" borderId="0" xfId="0" applyFont="1" applyFill="1" applyAlignment="1">
      <alignment/>
    </xf>
    <xf numFmtId="0" fontId="9" fillId="35" borderId="0" xfId="0" applyFont="1" applyFill="1" applyAlignment="1">
      <alignment/>
    </xf>
    <xf numFmtId="4" fontId="14" fillId="33" borderId="0" xfId="51" applyNumberFormat="1" applyFont="1" applyFill="1" applyAlignment="1">
      <alignment horizontal="right"/>
    </xf>
    <xf numFmtId="4" fontId="7" fillId="33" borderId="0" xfId="51" applyNumberFormat="1" applyFont="1" applyFill="1" applyAlignment="1">
      <alignment horizontal="right"/>
    </xf>
    <xf numFmtId="4" fontId="14" fillId="33" borderId="0" xfId="0" applyNumberFormat="1" applyFont="1" applyFill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4" fontId="13" fillId="33" borderId="0" xfId="0" applyNumberFormat="1" applyFont="1" applyFill="1" applyBorder="1" applyAlignment="1">
      <alignment horizontal="right"/>
    </xf>
    <xf numFmtId="169" fontId="13" fillId="33" borderId="0" xfId="0" applyNumberFormat="1" applyFont="1" applyFill="1" applyBorder="1" applyAlignment="1">
      <alignment horizontal="right"/>
    </xf>
    <xf numFmtId="4" fontId="23" fillId="33" borderId="0" xfId="0" applyNumberFormat="1" applyFont="1" applyFill="1" applyBorder="1" applyAlignment="1">
      <alignment horizontal="right"/>
    </xf>
    <xf numFmtId="4" fontId="23" fillId="33" borderId="14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right"/>
    </xf>
    <xf numFmtId="169" fontId="13" fillId="0" borderId="16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 horizontal="right"/>
    </xf>
    <xf numFmtId="4" fontId="23" fillId="33" borderId="17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/>
    </xf>
    <xf numFmtId="9" fontId="13" fillId="37" borderId="0" xfId="56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0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9" fillId="37" borderId="18" xfId="0" applyNumberFormat="1" applyFont="1" applyFill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7" fontId="0" fillId="0" borderId="0" xfId="56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0" xfId="56" applyNumberFormat="1" applyFont="1" applyAlignment="1">
      <alignment/>
    </xf>
    <xf numFmtId="0" fontId="13" fillId="0" borderId="0" xfId="0" applyFont="1" applyBorder="1" applyAlignment="1">
      <alignment/>
    </xf>
    <xf numFmtId="4" fontId="42" fillId="37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56" applyNumberFormat="1" applyFont="1" applyBorder="1" applyAlignment="1">
      <alignment/>
    </xf>
    <xf numFmtId="4" fontId="59" fillId="0" borderId="0" xfId="0" applyNumberFormat="1" applyFont="1" applyFill="1" applyBorder="1" applyAlignment="1">
      <alignment/>
    </xf>
    <xf numFmtId="167" fontId="0" fillId="0" borderId="0" xfId="56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49" fontId="18" fillId="38" borderId="0" xfId="0" applyNumberFormat="1" applyFont="1" applyFill="1" applyAlignment="1">
      <alignment horizontal="center" vertical="center" wrapText="1"/>
    </xf>
    <xf numFmtId="0" fontId="19" fillId="38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4" fontId="14" fillId="33" borderId="0" xfId="51" applyNumberFormat="1" applyFont="1" applyFill="1" applyBorder="1" applyAlignment="1">
      <alignment horizontal="right"/>
    </xf>
    <xf numFmtId="4" fontId="14" fillId="33" borderId="0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4" fontId="7" fillId="33" borderId="0" xfId="51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right"/>
    </xf>
    <xf numFmtId="4" fontId="13" fillId="33" borderId="16" xfId="0" applyNumberFormat="1" applyFont="1" applyFill="1" applyBorder="1" applyAlignment="1">
      <alignment horizontal="right"/>
    </xf>
    <xf numFmtId="4" fontId="14" fillId="33" borderId="16" xfId="51" applyNumberFormat="1" applyFont="1" applyFill="1" applyBorder="1" applyAlignment="1">
      <alignment horizontal="right"/>
    </xf>
    <xf numFmtId="4" fontId="14" fillId="33" borderId="16" xfId="0" applyNumberFormat="1" applyFont="1" applyFill="1" applyBorder="1" applyAlignment="1">
      <alignment horizontal="right"/>
    </xf>
    <xf numFmtId="4" fontId="14" fillId="33" borderId="17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tine%20Wollman\STINE\2009\CONVENIO%20COLECTIVO\ANEXOS%20CIA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IAS"/>
      <sheetName val="ANEXO I"/>
      <sheetName val="ANEXO III"/>
      <sheetName val="ANEXO IV"/>
      <sheetName val="ANEXO V"/>
      <sheetName val="ANEXO VI "/>
      <sheetName val="ANEXO VII"/>
      <sheetName val="ANEXO VIII"/>
      <sheetName val="ANEXO IX"/>
      <sheetName val="ANEXO X"/>
      <sheetName val="ANEXOXI"/>
      <sheetName val="Especial Dedicación"/>
      <sheetName val="Equiparación complementos 2008"/>
      <sheetName val="REFERENCIAS (2)"/>
      <sheetName val="Equiparación complementos funci"/>
      <sheetName val="CálculComplemento funcional aux"/>
    </sheetNames>
    <sheetDataSet>
      <sheetData sheetId="0">
        <row r="3">
          <cell r="A3" t="str">
            <v>A1</v>
          </cell>
          <cell r="B3">
            <v>1157.82</v>
          </cell>
          <cell r="C3">
            <v>171.0132</v>
          </cell>
          <cell r="D3">
            <v>44.51</v>
          </cell>
        </row>
        <row r="4">
          <cell r="A4" t="str">
            <v>A2</v>
          </cell>
          <cell r="B4">
            <v>982.64</v>
          </cell>
          <cell r="C4">
            <v>139.7706</v>
          </cell>
          <cell r="D4">
            <v>35.62</v>
          </cell>
        </row>
        <row r="5">
          <cell r="A5" t="str">
            <v>B</v>
          </cell>
          <cell r="B5">
            <v>852.81</v>
          </cell>
          <cell r="D5">
            <v>31.04</v>
          </cell>
        </row>
        <row r="6">
          <cell r="A6" t="str">
            <v>C1</v>
          </cell>
          <cell r="B6">
            <v>732.51</v>
          </cell>
          <cell r="C6">
            <v>115.2498</v>
          </cell>
          <cell r="D6">
            <v>26.75</v>
          </cell>
        </row>
        <row r="7">
          <cell r="A7" t="str">
            <v>C2</v>
          </cell>
          <cell r="B7">
            <v>598.95</v>
          </cell>
          <cell r="C7">
            <v>94.98240000000001</v>
          </cell>
          <cell r="D7">
            <v>17.88</v>
          </cell>
        </row>
        <row r="8">
          <cell r="A8" t="str">
            <v>E</v>
          </cell>
          <cell r="B8">
            <v>546.82</v>
          </cell>
          <cell r="D8">
            <v>13.42</v>
          </cell>
        </row>
        <row r="11">
          <cell r="A11">
            <v>30</v>
          </cell>
          <cell r="B11">
            <v>1016.67</v>
          </cell>
        </row>
        <row r="12">
          <cell r="A12">
            <v>29</v>
          </cell>
          <cell r="B12">
            <v>911.92</v>
          </cell>
        </row>
        <row r="13">
          <cell r="A13">
            <v>28</v>
          </cell>
          <cell r="B13">
            <v>873.58</v>
          </cell>
        </row>
        <row r="14">
          <cell r="A14">
            <v>27</v>
          </cell>
          <cell r="B14">
            <v>835.22</v>
          </cell>
        </row>
        <row r="15">
          <cell r="A15">
            <v>26</v>
          </cell>
          <cell r="B15">
            <v>732.74</v>
          </cell>
        </row>
        <row r="16">
          <cell r="A16">
            <v>25</v>
          </cell>
          <cell r="B16">
            <v>650.11</v>
          </cell>
        </row>
        <row r="17">
          <cell r="A17">
            <v>24</v>
          </cell>
          <cell r="B17">
            <v>611.76</v>
          </cell>
        </row>
        <row r="18">
          <cell r="A18">
            <v>23</v>
          </cell>
          <cell r="B18">
            <v>573.43</v>
          </cell>
        </row>
        <row r="19">
          <cell r="A19">
            <v>22</v>
          </cell>
          <cell r="B19">
            <v>535.06</v>
          </cell>
        </row>
        <row r="20">
          <cell r="A20">
            <v>21</v>
          </cell>
          <cell r="B20">
            <v>496.76</v>
          </cell>
        </row>
        <row r="21">
          <cell r="A21">
            <v>20</v>
          </cell>
          <cell r="B21">
            <v>461.45</v>
          </cell>
        </row>
        <row r="22">
          <cell r="A22">
            <v>19</v>
          </cell>
          <cell r="B22">
            <v>437.89</v>
          </cell>
        </row>
        <row r="23">
          <cell r="A23">
            <v>18</v>
          </cell>
          <cell r="B23">
            <v>414.31</v>
          </cell>
        </row>
        <row r="24">
          <cell r="A24">
            <v>17</v>
          </cell>
          <cell r="B24">
            <v>390.74</v>
          </cell>
        </row>
        <row r="25">
          <cell r="A25">
            <v>16</v>
          </cell>
          <cell r="B25">
            <v>367.23</v>
          </cell>
        </row>
        <row r="26">
          <cell r="A26">
            <v>15</v>
          </cell>
          <cell r="B26">
            <v>343.63</v>
          </cell>
        </row>
        <row r="27">
          <cell r="A27">
            <v>14</v>
          </cell>
          <cell r="B27">
            <v>320.09</v>
          </cell>
        </row>
        <row r="28">
          <cell r="A28">
            <v>13</v>
          </cell>
          <cell r="B28">
            <v>296.5</v>
          </cell>
        </row>
        <row r="29">
          <cell r="A29">
            <v>12</v>
          </cell>
          <cell r="B29">
            <v>272.93</v>
          </cell>
        </row>
        <row r="30">
          <cell r="A30">
            <v>11</v>
          </cell>
          <cell r="B30">
            <v>249.37</v>
          </cell>
        </row>
        <row r="31">
          <cell r="A31">
            <v>10</v>
          </cell>
          <cell r="B31">
            <v>225.83</v>
          </cell>
        </row>
        <row r="32">
          <cell r="A32">
            <v>9</v>
          </cell>
          <cell r="B32">
            <v>214.05</v>
          </cell>
        </row>
        <row r="33">
          <cell r="A33">
            <v>8</v>
          </cell>
          <cell r="B33">
            <v>202.24</v>
          </cell>
        </row>
        <row r="34">
          <cell r="A34">
            <v>7</v>
          </cell>
          <cell r="B34">
            <v>190.47</v>
          </cell>
        </row>
        <row r="35">
          <cell r="A35">
            <v>6</v>
          </cell>
          <cell r="B35">
            <v>178.69</v>
          </cell>
        </row>
        <row r="36">
          <cell r="A36">
            <v>5</v>
          </cell>
          <cell r="B36">
            <v>166.9</v>
          </cell>
        </row>
        <row r="37">
          <cell r="A37">
            <v>4</v>
          </cell>
          <cell r="B37">
            <v>149.24</v>
          </cell>
        </row>
        <row r="38">
          <cell r="A38">
            <v>3</v>
          </cell>
          <cell r="B38">
            <v>131.62</v>
          </cell>
        </row>
        <row r="39">
          <cell r="A39">
            <v>2</v>
          </cell>
          <cell r="B39">
            <v>113.93</v>
          </cell>
        </row>
        <row r="40">
          <cell r="A40">
            <v>1</v>
          </cell>
          <cell r="B40">
            <v>96.28</v>
          </cell>
        </row>
        <row r="41">
          <cell r="A41">
            <v>0</v>
          </cell>
          <cell r="B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130" zoomScaleNormal="130" zoomScaleSheetLayoutView="100" workbookViewId="0" topLeftCell="G30">
      <selection activeCell="H56" sqref="H56"/>
    </sheetView>
  </sheetViews>
  <sheetFormatPr defaultColWidth="11.421875" defaultRowHeight="12.75"/>
  <cols>
    <col min="1" max="1" width="15.421875" style="0" hidden="1" customWidth="1"/>
    <col min="2" max="2" width="10.7109375" style="0" hidden="1" customWidth="1"/>
    <col min="3" max="3" width="12.8515625" style="0" hidden="1" customWidth="1"/>
    <col min="4" max="4" width="22.7109375" style="0" hidden="1" customWidth="1"/>
    <col min="5" max="5" width="8.140625" style="17" hidden="1" customWidth="1"/>
    <col min="6" max="6" width="12.57421875" style="0" hidden="1" customWidth="1"/>
    <col min="7" max="7" width="4.00390625" style="0" customWidth="1"/>
    <col min="8" max="8" width="15.00390625" style="0" customWidth="1"/>
    <col min="9" max="9" width="11.7109375" style="0" bestFit="1" customWidth="1"/>
    <col min="10" max="10" width="11.8515625" style="0" bestFit="1" customWidth="1"/>
    <col min="11" max="11" width="22.57421875" style="0" customWidth="1"/>
    <col min="12" max="12" width="9.57421875" style="0" customWidth="1"/>
    <col min="13" max="13" width="3.140625" style="0" customWidth="1"/>
    <col min="14" max="14" width="9.8515625" style="0" customWidth="1"/>
    <col min="15" max="15" width="2.28125" style="0" customWidth="1"/>
    <col min="17" max="17" width="11.28125" style="0" customWidth="1"/>
    <col min="18" max="18" width="5.57421875" style="0" customWidth="1"/>
    <col min="19" max="19" width="11.421875" style="0" customWidth="1"/>
    <col min="20" max="20" width="9.28125" style="0" customWidth="1"/>
    <col min="22" max="22" width="21.28125" style="0" bestFit="1" customWidth="1"/>
    <col min="24" max="24" width="4.421875" style="0" customWidth="1"/>
  </cols>
  <sheetData>
    <row r="1" spans="8:20" ht="15" customHeight="1">
      <c r="H1" s="141" t="s">
        <v>129</v>
      </c>
      <c r="I1" s="141"/>
      <c r="J1" s="141"/>
      <c r="K1" s="141"/>
      <c r="L1" s="141"/>
      <c r="M1" s="141"/>
      <c r="N1" s="141"/>
      <c r="O1" s="141"/>
      <c r="P1" s="142" t="s">
        <v>144</v>
      </c>
      <c r="Q1" s="142"/>
      <c r="R1" s="142"/>
      <c r="S1" s="142"/>
      <c r="T1" s="142"/>
    </row>
    <row r="2" spans="8:20" ht="15" customHeight="1">
      <c r="H2" s="141" t="s">
        <v>130</v>
      </c>
      <c r="I2" s="141"/>
      <c r="J2" s="141"/>
      <c r="K2" s="141"/>
      <c r="L2" s="141"/>
      <c r="M2" s="141"/>
      <c r="N2" s="141"/>
      <c r="O2" s="141"/>
      <c r="P2" s="143" t="s">
        <v>131</v>
      </c>
      <c r="Q2" s="143"/>
      <c r="R2" s="143"/>
      <c r="S2" s="143"/>
      <c r="T2" s="143"/>
    </row>
    <row r="3" ht="12.75">
      <c r="H3" s="3" t="s">
        <v>143</v>
      </c>
    </row>
    <row r="4" spans="5:19" ht="12.75" customHeight="1">
      <c r="E4"/>
      <c r="H4" s="3" t="s">
        <v>132</v>
      </c>
      <c r="I4" s="3"/>
      <c r="J4" s="72"/>
      <c r="K4" s="3"/>
      <c r="L4" s="3"/>
      <c r="M4" s="3"/>
      <c r="N4" s="3"/>
      <c r="O4" s="3"/>
      <c r="P4" s="3"/>
      <c r="R4" s="107"/>
      <c r="S4" s="107"/>
    </row>
    <row r="5" spans="5:19" ht="12.75">
      <c r="E5"/>
      <c r="R5" s="107"/>
      <c r="S5" s="107"/>
    </row>
    <row r="6" spans="1:27" ht="12.75">
      <c r="A6" s="32"/>
      <c r="B6" s="33"/>
      <c r="C6" s="34"/>
      <c r="D6" s="35"/>
      <c r="H6" s="139"/>
      <c r="I6" s="139"/>
      <c r="J6" s="139"/>
      <c r="K6" s="139"/>
      <c r="L6" s="139"/>
      <c r="N6" s="3"/>
      <c r="P6" s="3"/>
      <c r="S6" s="140"/>
      <c r="T6" s="140"/>
      <c r="U6" s="140"/>
      <c r="V6" s="140"/>
      <c r="W6" s="140"/>
      <c r="X6" s="17"/>
      <c r="Y6" s="125"/>
      <c r="Z6" s="125"/>
      <c r="AA6" s="17"/>
    </row>
    <row r="7" spans="8:27" ht="38.25">
      <c r="H7" s="108" t="s">
        <v>47</v>
      </c>
      <c r="I7" s="108" t="s">
        <v>69</v>
      </c>
      <c r="J7" s="108" t="s">
        <v>78</v>
      </c>
      <c r="K7" s="109" t="s">
        <v>71</v>
      </c>
      <c r="L7" s="108" t="s">
        <v>75</v>
      </c>
      <c r="N7" s="108" t="s">
        <v>47</v>
      </c>
      <c r="P7" s="108" t="s">
        <v>69</v>
      </c>
      <c r="Q7" s="108" t="s">
        <v>78</v>
      </c>
      <c r="S7" s="126"/>
      <c r="T7" s="126"/>
      <c r="U7" s="126"/>
      <c r="V7" s="107"/>
      <c r="W7" s="107"/>
      <c r="X7" s="17"/>
      <c r="Y7" s="126"/>
      <c r="Z7" s="126"/>
      <c r="AA7" s="126"/>
    </row>
    <row r="8" spans="8:27" ht="15">
      <c r="H8" s="110" t="s">
        <v>63</v>
      </c>
      <c r="I8" s="111">
        <f>ROUND(1203.56+(1203.56*0.9%),2)</f>
        <v>1214.39</v>
      </c>
      <c r="J8" s="111">
        <f>ROUND(46.32+(46.32*0.9%),2)</f>
        <v>46.74</v>
      </c>
      <c r="K8" s="111">
        <f>ROUND(186.19+(186.19*0.9%),2)</f>
        <v>187.87</v>
      </c>
      <c r="L8" s="112">
        <f>ROUND(21.92+(21.92*0.9%),2)</f>
        <v>22.12</v>
      </c>
      <c r="N8" s="110" t="s">
        <v>63</v>
      </c>
      <c r="P8" s="111">
        <f>ROUND(742.7+(742.7*0.9%),2)</f>
        <v>749.38</v>
      </c>
      <c r="Q8" s="111">
        <f>ROUND(28.59+(28.59*0.9%),2)</f>
        <v>28.85</v>
      </c>
      <c r="S8" s="32"/>
      <c r="T8" s="33"/>
      <c r="U8" s="33"/>
      <c r="V8" s="33"/>
      <c r="W8" s="134"/>
      <c r="X8" s="17"/>
      <c r="Y8" s="32"/>
      <c r="Z8" s="33"/>
      <c r="AA8" s="33"/>
    </row>
    <row r="9" spans="8:27" ht="12.75">
      <c r="H9" s="110" t="s">
        <v>64</v>
      </c>
      <c r="I9" s="111">
        <f>ROUND(1203.56+(1203.56*0.9%),2)</f>
        <v>1214.39</v>
      </c>
      <c r="J9" s="111">
        <f>ROUND(46.32+(46.32*0.9%),2)</f>
        <v>46.74</v>
      </c>
      <c r="K9" s="111">
        <f>ROUND(186.19+(186.19*0.9%),2)</f>
        <v>187.87</v>
      </c>
      <c r="L9" s="17"/>
      <c r="N9" s="110" t="s">
        <v>64</v>
      </c>
      <c r="P9" s="111">
        <f>ROUND(742.7+(742.7*0.9%),2)</f>
        <v>749.38</v>
      </c>
      <c r="Q9" s="111">
        <f>ROUND(28.59+(28.59*0.9%),2)</f>
        <v>28.85</v>
      </c>
      <c r="S9" s="32"/>
      <c r="T9" s="33"/>
      <c r="U9" s="33"/>
      <c r="V9" s="33"/>
      <c r="W9" s="124"/>
      <c r="X9" s="17"/>
      <c r="Y9" s="32"/>
      <c r="Z9" s="33"/>
      <c r="AA9" s="33"/>
    </row>
    <row r="10" spans="8:27" ht="12.75">
      <c r="H10" s="110" t="s">
        <v>65</v>
      </c>
      <c r="I10" s="111">
        <f>ROUND(1040.69+(1040.69*0.9%),2)</f>
        <v>1050.06</v>
      </c>
      <c r="J10" s="111">
        <f>ROUND(37.78+(37.78*0.9%),2)</f>
        <v>38.12</v>
      </c>
      <c r="K10" s="147">
        <f>ROUND(152.18+(152.18*0.9%),2)</f>
        <v>153.55</v>
      </c>
      <c r="L10" s="17"/>
      <c r="N10" s="110" t="s">
        <v>65</v>
      </c>
      <c r="P10" s="111">
        <f>ROUND(759+(759*0.9%),2)</f>
        <v>765.83</v>
      </c>
      <c r="Q10" s="111">
        <f>ROUND(27.54+(27.54*0.9%),2)</f>
        <v>27.79</v>
      </c>
      <c r="S10" s="32"/>
      <c r="T10" s="33"/>
      <c r="U10" s="33"/>
      <c r="V10" s="33"/>
      <c r="W10" s="124"/>
      <c r="X10" s="17"/>
      <c r="Y10" s="32"/>
      <c r="Z10" s="33"/>
      <c r="AA10" s="33"/>
    </row>
    <row r="11" spans="8:27" ht="12.75">
      <c r="H11" s="110" t="s">
        <v>77</v>
      </c>
      <c r="I11" s="111">
        <f>ROUND(1040.69+(1040.69*0.9%),2)</f>
        <v>1050.06</v>
      </c>
      <c r="J11" s="111">
        <f>ROUND(37.78+(37.78*0.9%),2)</f>
        <v>38.12</v>
      </c>
      <c r="K11" s="147">
        <f>ROUND(152.18+(152.18*0.9%),2)</f>
        <v>153.55</v>
      </c>
      <c r="L11" s="17"/>
      <c r="N11" s="110" t="s">
        <v>77</v>
      </c>
      <c r="P11" s="111">
        <f>ROUND(759+(759*0.9%),2)</f>
        <v>765.83</v>
      </c>
      <c r="Q11" s="111">
        <f>ROUND(27.54+(27.54*0.9%),2)</f>
        <v>27.79</v>
      </c>
      <c r="S11" s="32"/>
      <c r="T11" s="33"/>
      <c r="U11" s="33"/>
      <c r="V11" s="33"/>
      <c r="W11" s="124"/>
      <c r="X11" s="17"/>
      <c r="Y11" s="32"/>
      <c r="Z11" s="33"/>
      <c r="AA11" s="33"/>
    </row>
    <row r="12" spans="8:27" ht="12.75">
      <c r="H12" s="110" t="s">
        <v>36</v>
      </c>
      <c r="I12" s="111">
        <f>ROUND(909.7+(909.7*0.9%),2)</f>
        <v>917.89</v>
      </c>
      <c r="J12" s="111">
        <f>ROUND(33.14+(33.14*0.9%),2)</f>
        <v>33.44</v>
      </c>
      <c r="K12" s="111">
        <f>ROUND(141+(141*0.9%),2)</f>
        <v>142.27</v>
      </c>
      <c r="L12" s="17"/>
      <c r="N12" s="110" t="s">
        <v>36</v>
      </c>
      <c r="P12" s="111">
        <f>ROUND(786.25+(786.25*0.9%),2)</f>
        <v>793.33</v>
      </c>
      <c r="Q12" s="111">
        <f>ROUND(28.66+(28.66*0.9%),2)</f>
        <v>28.92</v>
      </c>
      <c r="S12" s="32"/>
      <c r="T12" s="33"/>
      <c r="U12" s="33"/>
      <c r="V12" s="33"/>
      <c r="W12" s="124"/>
      <c r="X12" s="17"/>
      <c r="Y12" s="32"/>
      <c r="Z12" s="33"/>
      <c r="AA12" s="33"/>
    </row>
    <row r="13" spans="8:27" ht="12.75">
      <c r="H13" s="110" t="s">
        <v>66</v>
      </c>
      <c r="I13" s="111">
        <f>ROUND(781.39+(781.39*0.9%),2)</f>
        <v>788.42</v>
      </c>
      <c r="J13" s="111">
        <f>ROUND(28.59+(28.59*0.9%),2)</f>
        <v>28.85</v>
      </c>
      <c r="K13" s="111">
        <f>ROUND(125.46+(125.46*0.9%),2)</f>
        <v>126.59</v>
      </c>
      <c r="L13" s="17"/>
      <c r="N13" s="110" t="s">
        <v>66</v>
      </c>
      <c r="P13" s="111">
        <f>ROUND(675.35+(675.35*0.9%),2)</f>
        <v>681.43</v>
      </c>
      <c r="Q13" s="111">
        <f>ROUND(24.69+(24.69*0.9%),2)</f>
        <v>24.91</v>
      </c>
      <c r="S13" s="32"/>
      <c r="T13" s="33"/>
      <c r="U13" s="33"/>
      <c r="V13" s="33"/>
      <c r="W13" s="124"/>
      <c r="X13" s="17"/>
      <c r="Y13" s="32"/>
      <c r="Z13" s="33"/>
      <c r="AA13" s="33"/>
    </row>
    <row r="14" spans="8:27" ht="12.75">
      <c r="H14" s="110" t="s">
        <v>67</v>
      </c>
      <c r="I14" s="111">
        <f>ROUND(650.33+(650.33*0.9%),2)</f>
        <v>656.18</v>
      </c>
      <c r="J14" s="111">
        <f>ROUND(19.46+(19.46*0.9%),2)</f>
        <v>19.64</v>
      </c>
      <c r="K14" s="111">
        <f>ROUND(103.43+(103.43*0.9%),2)</f>
        <v>104.36</v>
      </c>
      <c r="L14" s="17"/>
      <c r="N14" s="110" t="s">
        <v>67</v>
      </c>
      <c r="P14" s="111">
        <f>ROUND(644.4+(644.4*0.9%),2)</f>
        <v>650.2</v>
      </c>
      <c r="Q14" s="111">
        <f>ROUND(19.27+(19.27*0.9%),2)</f>
        <v>19.44</v>
      </c>
      <c r="S14" s="32"/>
      <c r="T14" s="33"/>
      <c r="U14" s="33"/>
      <c r="V14" s="33"/>
      <c r="W14" s="124"/>
      <c r="X14" s="17"/>
      <c r="Y14" s="32"/>
      <c r="Z14" s="33"/>
      <c r="AA14" s="33"/>
    </row>
    <row r="15" spans="8:27" ht="12.75">
      <c r="H15" s="110" t="s">
        <v>70</v>
      </c>
      <c r="I15" s="111">
        <f>ROUND(595.22+(595.22*0.9%),2)</f>
        <v>600.58</v>
      </c>
      <c r="J15" s="111">
        <f>ROUND(14.65+(14.65*0.9%),2)</f>
        <v>14.78</v>
      </c>
      <c r="K15" s="111">
        <f>ROUND(91.36+(91.36*0.9%),2)</f>
        <v>92.18</v>
      </c>
      <c r="L15" s="17"/>
      <c r="N15" s="110" t="s">
        <v>70</v>
      </c>
      <c r="P15" s="111">
        <f>ROUND(595.22+(595.22*0.9%),2)</f>
        <v>600.58</v>
      </c>
      <c r="Q15" s="111">
        <f>ROUND(14.65+(14.65*0.9%),2)</f>
        <v>14.78</v>
      </c>
      <c r="S15" s="32"/>
      <c r="T15" s="33"/>
      <c r="U15" s="33"/>
      <c r="V15" s="33"/>
      <c r="W15" s="124"/>
      <c r="X15" s="17"/>
      <c r="Y15" s="32"/>
      <c r="Z15" s="33"/>
      <c r="AA15" s="33"/>
    </row>
    <row r="16" spans="8:27" ht="12.75">
      <c r="H16" s="32"/>
      <c r="I16" s="33"/>
      <c r="J16" s="34"/>
      <c r="K16" s="35"/>
      <c r="L16" s="17"/>
      <c r="S16" s="32"/>
      <c r="T16" s="33"/>
      <c r="U16" s="34"/>
      <c r="V16" s="35"/>
      <c r="W16" s="124"/>
      <c r="X16" s="17"/>
      <c r="Y16" s="17"/>
      <c r="Z16" s="17"/>
      <c r="AA16" s="17"/>
    </row>
    <row r="17" spans="8:27" ht="25.5">
      <c r="H17" s="113" t="s">
        <v>74</v>
      </c>
      <c r="I17" s="114"/>
      <c r="J17" s="34"/>
      <c r="K17" s="35"/>
      <c r="L17" s="115"/>
      <c r="S17" s="127"/>
      <c r="T17" s="127"/>
      <c r="U17" s="17"/>
      <c r="V17" s="35"/>
      <c r="W17" s="135"/>
      <c r="X17" s="17"/>
      <c r="Y17" s="17"/>
      <c r="Z17" s="17"/>
      <c r="AA17" s="17"/>
    </row>
    <row r="18" spans="8:27" ht="12.75">
      <c r="H18" s="116" t="s">
        <v>73</v>
      </c>
      <c r="I18" s="116" t="s">
        <v>79</v>
      </c>
      <c r="J18" s="34"/>
      <c r="L18" s="11"/>
      <c r="S18" s="128"/>
      <c r="T18" s="128"/>
      <c r="U18" s="17"/>
      <c r="V18" s="17"/>
      <c r="W18" s="124"/>
      <c r="X18" s="17"/>
      <c r="Y18" s="17"/>
      <c r="Z18" s="17"/>
      <c r="AA18" s="17"/>
    </row>
    <row r="19" spans="8:27" ht="12.75">
      <c r="H19" s="117">
        <v>30</v>
      </c>
      <c r="I19" s="147">
        <f>ROUND(1051.31+(1051.31*0.9%),2)</f>
        <v>1060.77</v>
      </c>
      <c r="J19" s="118"/>
      <c r="K19" s="119"/>
      <c r="S19" s="129"/>
      <c r="T19" s="130"/>
      <c r="U19" s="17"/>
      <c r="V19" s="131"/>
      <c r="W19" s="124"/>
      <c r="X19" s="17"/>
      <c r="Y19" s="17"/>
      <c r="Z19" s="17"/>
      <c r="AA19" s="17"/>
    </row>
    <row r="20" spans="8:27" ht="12.75">
      <c r="H20" s="117">
        <v>29</v>
      </c>
      <c r="I20" s="147">
        <f>ROUND(942.97+(942.97*0.9%),2)</f>
        <v>951.46</v>
      </c>
      <c r="J20" s="11"/>
      <c r="K20" s="120"/>
      <c r="O20" s="33"/>
      <c r="Q20" s="121"/>
      <c r="S20" s="129"/>
      <c r="T20" s="130"/>
      <c r="U20" s="17"/>
      <c r="V20" s="132"/>
      <c r="W20" s="124"/>
      <c r="X20" s="17"/>
      <c r="Y20" s="17"/>
      <c r="Z20" s="17"/>
      <c r="AA20" s="133"/>
    </row>
    <row r="21" spans="8:27" ht="12.75">
      <c r="H21" s="117">
        <v>28</v>
      </c>
      <c r="I21" s="147">
        <f>ROUND(903.35+(903.35*0.9%),2)</f>
        <v>911.48</v>
      </c>
      <c r="J21" s="11"/>
      <c r="L21" s="17"/>
      <c r="Q21" s="121"/>
      <c r="S21" s="129"/>
      <c r="T21" s="130"/>
      <c r="U21" s="17"/>
      <c r="V21" s="17"/>
      <c r="W21" s="124"/>
      <c r="X21" s="17"/>
      <c r="Y21" s="17"/>
      <c r="Z21" s="17"/>
      <c r="AA21" s="133"/>
    </row>
    <row r="22" spans="8:27" ht="12.75">
      <c r="H22" s="117">
        <v>27</v>
      </c>
      <c r="I22" s="147">
        <f>ROUND(863.66+(863.66*0.9%),2)</f>
        <v>871.43</v>
      </c>
      <c r="J22" s="11"/>
      <c r="L22" s="35"/>
      <c r="Q22" s="121"/>
      <c r="S22" s="129"/>
      <c r="T22" s="130"/>
      <c r="U22" s="17"/>
      <c r="V22" s="17"/>
      <c r="W22" s="136"/>
      <c r="X22" s="17"/>
      <c r="Y22" s="17"/>
      <c r="Z22" s="17"/>
      <c r="AA22" s="133"/>
    </row>
    <row r="23" spans="8:27" ht="15">
      <c r="H23" s="117">
        <v>26</v>
      </c>
      <c r="I23" s="147">
        <f>ROUND(757.72+(757.72*0.9%),2)</f>
        <v>764.54</v>
      </c>
      <c r="J23" s="11"/>
      <c r="K23" s="122" t="s">
        <v>138</v>
      </c>
      <c r="L23" s="123">
        <f>L8</f>
        <v>22.12</v>
      </c>
      <c r="Q23" s="121"/>
      <c r="S23" s="129"/>
      <c r="T23" s="130"/>
      <c r="U23" s="17"/>
      <c r="V23" s="122"/>
      <c r="W23" s="137"/>
      <c r="X23" s="17"/>
      <c r="Y23" s="17"/>
      <c r="Z23" s="17"/>
      <c r="AA23" s="133"/>
    </row>
    <row r="24" spans="8:27" ht="15">
      <c r="H24" s="117">
        <v>25</v>
      </c>
      <c r="I24" s="147">
        <f>ROUND(672.26+(672.26*0.9%),2)</f>
        <v>678.31</v>
      </c>
      <c r="J24" s="11"/>
      <c r="K24" s="122" t="s">
        <v>139</v>
      </c>
      <c r="L24" s="123">
        <f>L8</f>
        <v>22.12</v>
      </c>
      <c r="Q24" s="121"/>
      <c r="S24" s="129"/>
      <c r="T24" s="130"/>
      <c r="U24" s="17"/>
      <c r="V24" s="122"/>
      <c r="W24" s="137"/>
      <c r="X24" s="17"/>
      <c r="Y24" s="17"/>
      <c r="Z24" s="17"/>
      <c r="AA24" s="133"/>
    </row>
    <row r="25" spans="8:27" ht="12.75">
      <c r="H25" s="117">
        <v>24</v>
      </c>
      <c r="I25" s="147">
        <f>ROUND(632.6+(632.6*0.9%),2)</f>
        <v>638.29</v>
      </c>
      <c r="J25" s="11"/>
      <c r="K25" s="17"/>
      <c r="L25" s="35"/>
      <c r="Q25" s="121"/>
      <c r="S25" s="129"/>
      <c r="T25" s="130"/>
      <c r="U25" s="17"/>
      <c r="V25" s="17"/>
      <c r="W25" s="35"/>
      <c r="X25" s="17"/>
      <c r="Y25" s="17"/>
      <c r="Z25" s="17"/>
      <c r="AA25" s="133"/>
    </row>
    <row r="26" spans="8:27" ht="12.75">
      <c r="H26" s="117">
        <v>23</v>
      </c>
      <c r="I26" s="147">
        <f>ROUND(592.99+(592.99*0.9%),2)</f>
        <v>598.33</v>
      </c>
      <c r="J26" s="11"/>
      <c r="K26" s="124"/>
      <c r="L26" s="35"/>
      <c r="Q26" s="121"/>
      <c r="S26" s="129"/>
      <c r="T26" s="130"/>
      <c r="U26" s="17"/>
      <c r="V26" s="124"/>
      <c r="W26" s="35"/>
      <c r="X26" s="17"/>
      <c r="Y26" s="17"/>
      <c r="Z26" s="17"/>
      <c r="AA26" s="133"/>
    </row>
    <row r="27" spans="8:27" ht="12.75">
      <c r="H27" s="117">
        <v>22</v>
      </c>
      <c r="I27" s="111">
        <f>ROUND(553.3+(553.3*0.9%),2)</f>
        <v>558.28</v>
      </c>
      <c r="J27" s="11"/>
      <c r="K27" s="124"/>
      <c r="L27" s="17"/>
      <c r="Q27" s="121"/>
      <c r="S27" s="34"/>
      <c r="T27" s="33"/>
      <c r="U27" s="17"/>
      <c r="V27" s="124"/>
      <c r="W27" s="17"/>
      <c r="X27" s="17"/>
      <c r="Y27" s="17"/>
      <c r="Z27" s="17"/>
      <c r="AA27" s="133"/>
    </row>
    <row r="28" spans="8:27" ht="12.75">
      <c r="H28" s="117">
        <v>21</v>
      </c>
      <c r="I28" s="111">
        <f>ROUND(513.71+(513.71*0.9%),2)</f>
        <v>518.33</v>
      </c>
      <c r="J28" s="11"/>
      <c r="K28" s="124"/>
      <c r="L28" s="35"/>
      <c r="Q28" s="121"/>
      <c r="S28" s="34"/>
      <c r="T28" s="33"/>
      <c r="U28" s="17"/>
      <c r="V28" s="124"/>
      <c r="W28" s="35"/>
      <c r="X28" s="17"/>
      <c r="Y28" s="17"/>
      <c r="Z28" s="17"/>
      <c r="AA28" s="133"/>
    </row>
    <row r="29" spans="8:27" ht="12.75">
      <c r="H29" s="117">
        <v>20</v>
      </c>
      <c r="I29" s="111">
        <f>ROUND(477.19+(477.19*0.9%),2)</f>
        <v>481.48</v>
      </c>
      <c r="J29" s="11"/>
      <c r="K29" s="124"/>
      <c r="L29" s="35"/>
      <c r="Q29" s="121"/>
      <c r="S29" s="34"/>
      <c r="T29" s="33"/>
      <c r="U29" s="17"/>
      <c r="V29" s="124"/>
      <c r="W29" s="35"/>
      <c r="X29" s="17"/>
      <c r="Y29" s="17"/>
      <c r="Z29" s="17"/>
      <c r="AA29" s="133"/>
    </row>
    <row r="30" spans="8:27" ht="12.75">
      <c r="H30" s="117">
        <v>19</v>
      </c>
      <c r="I30" s="111">
        <f>ROUND(452.83+(452.83*0.9%),2)</f>
        <v>456.91</v>
      </c>
      <c r="J30" s="11"/>
      <c r="K30" s="124"/>
      <c r="L30" s="35"/>
      <c r="Q30" s="121"/>
      <c r="S30" s="34"/>
      <c r="T30" s="33"/>
      <c r="U30" s="17"/>
      <c r="V30" s="124"/>
      <c r="W30" s="35"/>
      <c r="X30" s="17"/>
      <c r="Y30" s="17"/>
      <c r="Z30" s="17"/>
      <c r="AA30" s="133"/>
    </row>
    <row r="31" spans="8:27" ht="12.75">
      <c r="H31" s="117">
        <v>18</v>
      </c>
      <c r="I31" s="111">
        <f>ROUND(428.46+(428.46*0.9%),2)</f>
        <v>432.32</v>
      </c>
      <c r="J31" s="11"/>
      <c r="K31" s="138"/>
      <c r="L31" s="138"/>
      <c r="Q31" s="121"/>
      <c r="S31" s="34"/>
      <c r="T31" s="33"/>
      <c r="U31" s="17"/>
      <c r="V31" s="138"/>
      <c r="W31" s="138"/>
      <c r="X31" s="17"/>
      <c r="Y31" s="17"/>
      <c r="Z31" s="17"/>
      <c r="AA31" s="133"/>
    </row>
    <row r="32" spans="8:27" ht="12.75">
      <c r="H32" s="117">
        <v>17</v>
      </c>
      <c r="I32" s="111">
        <f>ROUND(404.08+(404.08*0.9%),2)</f>
        <v>407.72</v>
      </c>
      <c r="J32" s="11"/>
      <c r="K32" s="138"/>
      <c r="L32" s="138"/>
      <c r="Q32" s="121"/>
      <c r="S32" s="34"/>
      <c r="T32" s="33"/>
      <c r="U32" s="17"/>
      <c r="V32" s="138"/>
      <c r="W32" s="138"/>
      <c r="X32" s="17"/>
      <c r="Y32" s="17"/>
      <c r="Z32" s="17"/>
      <c r="AA32" s="133"/>
    </row>
    <row r="33" spans="8:27" ht="12.75">
      <c r="H33" s="117">
        <v>16</v>
      </c>
      <c r="I33" s="111">
        <f>ROUND(379.77+(379.77*0.9%),2)</f>
        <v>383.19</v>
      </c>
      <c r="J33" s="11"/>
      <c r="K33" s="138"/>
      <c r="L33" s="138"/>
      <c r="Q33" s="121"/>
      <c r="S33" s="34"/>
      <c r="T33" s="33"/>
      <c r="U33" s="17"/>
      <c r="V33" s="138"/>
      <c r="W33" s="138"/>
      <c r="X33" s="17"/>
      <c r="Y33" s="17"/>
      <c r="Z33" s="17"/>
      <c r="AA33" s="133"/>
    </row>
    <row r="34" spans="8:27" ht="12.75">
      <c r="H34" s="117">
        <v>15</v>
      </c>
      <c r="I34" s="111">
        <f>ROUND(355.36+(355.36*0.9%),2)</f>
        <v>358.56</v>
      </c>
      <c r="J34" s="11"/>
      <c r="K34" s="138"/>
      <c r="L34" s="138"/>
      <c r="Q34" s="121"/>
      <c r="S34" s="34"/>
      <c r="T34" s="33"/>
      <c r="U34" s="17"/>
      <c r="V34" s="138"/>
      <c r="W34" s="138"/>
      <c r="X34" s="17"/>
      <c r="Y34" s="17"/>
      <c r="Z34" s="17"/>
      <c r="AA34" s="133"/>
    </row>
    <row r="35" spans="8:27" ht="12.75">
      <c r="H35" s="117">
        <v>14</v>
      </c>
      <c r="I35" s="111">
        <f>ROUND(331.04+(331.04*0.9%),2)</f>
        <v>334.02</v>
      </c>
      <c r="J35" s="11"/>
      <c r="K35" s="138"/>
      <c r="L35" s="138"/>
      <c r="Q35" s="121"/>
      <c r="S35" s="34"/>
      <c r="T35" s="33"/>
      <c r="U35" s="17"/>
      <c r="V35" s="138"/>
      <c r="W35" s="138"/>
      <c r="X35" s="17"/>
      <c r="Y35" s="17"/>
      <c r="Z35" s="17"/>
      <c r="AA35" s="133"/>
    </row>
    <row r="36" spans="8:27" ht="12.75">
      <c r="H36" s="117">
        <v>13</v>
      </c>
      <c r="I36" s="111">
        <f>ROUND(306.64+(306.64*0.9%),2)</f>
        <v>309.4</v>
      </c>
      <c r="J36" s="11"/>
      <c r="K36" s="138"/>
      <c r="L36" s="138"/>
      <c r="Q36" s="121"/>
      <c r="S36" s="34"/>
      <c r="T36" s="33"/>
      <c r="U36" s="17"/>
      <c r="V36" s="138"/>
      <c r="W36" s="138"/>
      <c r="X36" s="17"/>
      <c r="Y36" s="17"/>
      <c r="Z36" s="17"/>
      <c r="AA36" s="133"/>
    </row>
    <row r="37" spans="8:27" ht="12.75">
      <c r="H37" s="117">
        <v>12</v>
      </c>
      <c r="I37" s="111">
        <f>ROUND(282.26+(282.26*0.9%),2)</f>
        <v>284.8</v>
      </c>
      <c r="J37" s="11"/>
      <c r="K37" s="138"/>
      <c r="L37" s="138"/>
      <c r="Q37" s="121"/>
      <c r="S37" s="34"/>
      <c r="T37" s="33"/>
      <c r="U37" s="17"/>
      <c r="V37" s="138"/>
      <c r="W37" s="138"/>
      <c r="X37" s="17"/>
      <c r="Y37" s="17"/>
      <c r="Z37" s="17"/>
      <c r="AA37" s="133"/>
    </row>
    <row r="38" spans="8:27" ht="12.75">
      <c r="H38" s="117">
        <v>11</v>
      </c>
      <c r="I38" s="111">
        <f>ROUND(257.88+(257.88*0.9%),2)</f>
        <v>260.2</v>
      </c>
      <c r="J38" s="11"/>
      <c r="K38" s="138"/>
      <c r="L38" s="138"/>
      <c r="Q38" s="121"/>
      <c r="S38" s="34"/>
      <c r="T38" s="33"/>
      <c r="U38" s="17"/>
      <c r="V38" s="138"/>
      <c r="W38" s="138"/>
      <c r="X38" s="17"/>
      <c r="Y38" s="17"/>
      <c r="Z38" s="17"/>
      <c r="AA38" s="133"/>
    </row>
    <row r="39" spans="8:27" ht="12.75">
      <c r="H39" s="117">
        <v>10</v>
      </c>
      <c r="I39" s="111">
        <f>ROUND(233.55+(233.55*0.9%),2)</f>
        <v>235.65</v>
      </c>
      <c r="J39" s="11"/>
      <c r="K39" s="138"/>
      <c r="L39" s="138"/>
      <c r="Q39" s="121"/>
      <c r="S39" s="34"/>
      <c r="T39" s="33"/>
      <c r="U39" s="17"/>
      <c r="V39" s="138"/>
      <c r="W39" s="138"/>
      <c r="X39" s="17"/>
      <c r="Y39" s="17"/>
      <c r="Z39" s="17"/>
      <c r="AA39" s="133"/>
    </row>
    <row r="40" spans="8:27" ht="12.75">
      <c r="H40" s="117">
        <v>9</v>
      </c>
      <c r="I40" s="111">
        <f>ROUND(221.39+(221.39*0.9%),2)</f>
        <v>223.38</v>
      </c>
      <c r="J40" s="11"/>
      <c r="K40" s="138"/>
      <c r="L40" s="138"/>
      <c r="Q40" s="121"/>
      <c r="S40" s="34"/>
      <c r="T40" s="33"/>
      <c r="U40" s="17"/>
      <c r="V40" s="138"/>
      <c r="W40" s="138"/>
      <c r="X40" s="17"/>
      <c r="Y40" s="17"/>
      <c r="Z40" s="17"/>
      <c r="AA40" s="133"/>
    </row>
    <row r="41" spans="8:27" ht="12.75">
      <c r="H41" s="117">
        <v>8</v>
      </c>
      <c r="I41" s="111">
        <f>ROUND(209.17+(209.17*0.9%),2)</f>
        <v>211.05</v>
      </c>
      <c r="J41" s="11"/>
      <c r="K41" s="138"/>
      <c r="L41" s="138"/>
      <c r="Q41" s="121"/>
      <c r="S41" s="34"/>
      <c r="T41" s="33"/>
      <c r="U41" s="17"/>
      <c r="V41" s="138"/>
      <c r="W41" s="138"/>
      <c r="X41" s="17"/>
      <c r="Y41" s="17"/>
      <c r="Z41" s="17"/>
      <c r="AA41" s="133"/>
    </row>
    <row r="42" spans="8:27" ht="12.75">
      <c r="H42" s="117">
        <v>7</v>
      </c>
      <c r="I42" s="111">
        <f>ROUND(197+(197*0.9%),2)</f>
        <v>198.77</v>
      </c>
      <c r="J42" s="11"/>
      <c r="K42" s="138"/>
      <c r="L42" s="138"/>
      <c r="Q42" s="121"/>
      <c r="S42" s="34"/>
      <c r="T42" s="33"/>
      <c r="U42" s="17"/>
      <c r="V42" s="138"/>
      <c r="W42" s="138"/>
      <c r="X42" s="17"/>
      <c r="Y42" s="17"/>
      <c r="Z42" s="17"/>
      <c r="AA42" s="133"/>
    </row>
    <row r="43" spans="8:27" ht="12.75">
      <c r="H43" s="117">
        <v>6</v>
      </c>
      <c r="I43" s="111">
        <f>ROUND(184.81+(184.81*0.9%),2)</f>
        <v>186.47</v>
      </c>
      <c r="J43" s="11"/>
      <c r="K43" s="138"/>
      <c r="L43" s="138"/>
      <c r="Q43" s="121"/>
      <c r="S43" s="34"/>
      <c r="T43" s="33"/>
      <c r="U43" s="17"/>
      <c r="V43" s="138"/>
      <c r="W43" s="138"/>
      <c r="X43" s="17"/>
      <c r="Y43" s="17"/>
      <c r="Z43" s="17"/>
      <c r="AA43" s="133"/>
    </row>
    <row r="44" spans="8:27" ht="12.75">
      <c r="H44" s="117">
        <v>5</v>
      </c>
      <c r="I44" s="111">
        <f>ROUND(172.63+(172.63*0.9%),2)</f>
        <v>174.18</v>
      </c>
      <c r="J44" s="11"/>
      <c r="K44" s="138"/>
      <c r="L44" s="138"/>
      <c r="Q44" s="121"/>
      <c r="S44" s="34"/>
      <c r="T44" s="33"/>
      <c r="U44" s="17"/>
      <c r="V44" s="138"/>
      <c r="W44" s="138"/>
      <c r="X44" s="17"/>
      <c r="Y44" s="17"/>
      <c r="Z44" s="17"/>
      <c r="AA44" s="133"/>
    </row>
    <row r="45" spans="8:27" ht="12.75">
      <c r="H45" s="117">
        <v>4</v>
      </c>
      <c r="I45" s="111">
        <f>ROUND(154.36+(154.36*0.9%),2)</f>
        <v>155.75</v>
      </c>
      <c r="J45" s="11"/>
      <c r="K45" s="138"/>
      <c r="L45" s="138"/>
      <c r="Q45" s="121"/>
      <c r="S45" s="34"/>
      <c r="T45" s="33"/>
      <c r="U45" s="17"/>
      <c r="V45" s="138"/>
      <c r="W45" s="138"/>
      <c r="X45" s="17"/>
      <c r="Y45" s="17"/>
      <c r="Z45" s="17"/>
      <c r="AA45" s="133"/>
    </row>
    <row r="46" spans="8:27" ht="12.75">
      <c r="H46" s="117">
        <v>3</v>
      </c>
      <c r="I46" s="111">
        <f>ROUND(136.12+(136.12*0.9%),2)</f>
        <v>137.35</v>
      </c>
      <c r="J46" s="11"/>
      <c r="K46" s="138"/>
      <c r="L46" s="138"/>
      <c r="Q46" s="121"/>
      <c r="S46" s="34"/>
      <c r="T46" s="33"/>
      <c r="U46" s="17"/>
      <c r="V46" s="138"/>
      <c r="W46" s="138"/>
      <c r="X46" s="17"/>
      <c r="Y46" s="17"/>
      <c r="Z46" s="17"/>
      <c r="AA46" s="133"/>
    </row>
    <row r="47" spans="8:27" ht="12.75">
      <c r="H47" s="117">
        <v>2</v>
      </c>
      <c r="I47" s="111">
        <f>ROUND(117.86+(117.86*0.9%),2)</f>
        <v>118.92</v>
      </c>
      <c r="J47" s="11"/>
      <c r="K47" s="138"/>
      <c r="L47" s="138"/>
      <c r="Q47" s="121"/>
      <c r="S47" s="34"/>
      <c r="T47" s="33"/>
      <c r="U47" s="17"/>
      <c r="V47" s="138"/>
      <c r="W47" s="138"/>
      <c r="X47" s="17"/>
      <c r="Y47" s="17"/>
      <c r="Z47" s="17"/>
      <c r="AA47" s="133"/>
    </row>
    <row r="48" spans="8:27" ht="12.75">
      <c r="H48" s="117">
        <v>1</v>
      </c>
      <c r="I48" s="111">
        <f>ROUND(99.6+(99.6*0.9%),2)</f>
        <v>100.5</v>
      </c>
      <c r="J48" s="11"/>
      <c r="K48" s="138"/>
      <c r="L48" s="138"/>
      <c r="Q48" s="121"/>
      <c r="S48" s="34"/>
      <c r="T48" s="33"/>
      <c r="U48" s="17"/>
      <c r="V48" s="138"/>
      <c r="W48" s="138"/>
      <c r="X48" s="17"/>
      <c r="Y48" s="17"/>
      <c r="Z48" s="17"/>
      <c r="AA48" s="133"/>
    </row>
  </sheetData>
  <sheetProtection/>
  <mergeCells count="42">
    <mergeCell ref="H1:O1"/>
    <mergeCell ref="P1:T1"/>
    <mergeCell ref="H2:O2"/>
    <mergeCell ref="P2:T2"/>
    <mergeCell ref="K35:L35"/>
    <mergeCell ref="K36:L36"/>
    <mergeCell ref="K31:L31"/>
    <mergeCell ref="K32:L32"/>
    <mergeCell ref="K33:L33"/>
    <mergeCell ref="K34:L34"/>
    <mergeCell ref="K37:L37"/>
    <mergeCell ref="K38:L38"/>
    <mergeCell ref="K39:L39"/>
    <mergeCell ref="K40:L40"/>
    <mergeCell ref="H6:L6"/>
    <mergeCell ref="S6:W6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K42:L42"/>
    <mergeCell ref="V42:W42"/>
    <mergeCell ref="K43:L43"/>
    <mergeCell ref="V43:W43"/>
    <mergeCell ref="K44:L44"/>
    <mergeCell ref="V44:W44"/>
    <mergeCell ref="K41:L41"/>
    <mergeCell ref="V45:W45"/>
    <mergeCell ref="V46:W46"/>
    <mergeCell ref="K47:L47"/>
    <mergeCell ref="V47:W47"/>
    <mergeCell ref="K48:L48"/>
    <mergeCell ref="V48:W48"/>
    <mergeCell ref="K45:L45"/>
    <mergeCell ref="K46:L46"/>
  </mergeCells>
  <printOptions/>
  <pageMargins left="0.75" right="0.75" top="1" bottom="1" header="0" footer="0"/>
  <pageSetup fitToHeight="3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60"/>
  <sheetViews>
    <sheetView zoomScale="110" zoomScaleNormal="110" zoomScaleSheetLayoutView="85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4" sqref="B64"/>
    </sheetView>
  </sheetViews>
  <sheetFormatPr defaultColWidth="11.421875" defaultRowHeight="12.75"/>
  <cols>
    <col min="1" max="1" width="4.28125" style="14" customWidth="1"/>
    <col min="2" max="2" width="54.00390625" style="14" customWidth="1"/>
    <col min="3" max="3" width="4.140625" style="14" customWidth="1"/>
    <col min="4" max="4" width="5.00390625" style="14" bestFit="1" customWidth="1"/>
    <col min="5" max="5" width="6.140625" style="47" customWidth="1"/>
    <col min="6" max="6" width="9.8515625" style="47" customWidth="1"/>
    <col min="7" max="7" width="9.28125" style="14" customWidth="1"/>
    <col min="8" max="8" width="10.8515625" style="14" customWidth="1"/>
    <col min="9" max="9" width="9.8515625" style="14" customWidth="1"/>
    <col min="10" max="10" width="10.7109375" style="14" customWidth="1"/>
    <col min="11" max="11" width="10.28125" style="42" customWidth="1"/>
    <col min="12" max="12" width="9.8515625" style="42" customWidth="1"/>
    <col min="13" max="13" width="9.140625" style="42" customWidth="1"/>
    <col min="14" max="14" width="10.140625" style="14" customWidth="1"/>
    <col min="15" max="15" width="11.7109375" style="14" customWidth="1"/>
    <col min="16" max="229" width="11.421875" style="14" customWidth="1"/>
    <col min="230" max="239" width="0" style="14" hidden="1" customWidth="1"/>
    <col min="240" max="16384" width="11.421875" style="14" customWidth="1"/>
  </cols>
  <sheetData>
    <row r="1" spans="1:15" ht="15.75">
      <c r="A1" s="104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>
      <c r="A2" s="2"/>
      <c r="B2" s="9"/>
      <c r="C2" s="2"/>
      <c r="D2" s="2"/>
      <c r="E2" s="2"/>
      <c r="F2" s="2"/>
      <c r="G2" s="9"/>
      <c r="H2" s="9"/>
      <c r="I2" s="9"/>
      <c r="J2" s="9"/>
      <c r="K2" s="4"/>
      <c r="L2" s="4"/>
      <c r="M2" s="4"/>
      <c r="N2" s="9"/>
      <c r="O2" s="9"/>
    </row>
    <row r="3" spans="1:15" ht="13.5" thickBot="1">
      <c r="A3" s="2"/>
      <c r="B3" s="9"/>
      <c r="C3" s="2"/>
      <c r="D3" s="2"/>
      <c r="E3" s="2"/>
      <c r="F3" s="2"/>
      <c r="G3" s="9"/>
      <c r="H3" s="29"/>
      <c r="I3" s="9"/>
      <c r="J3" s="9"/>
      <c r="K3" s="4"/>
      <c r="L3" s="4"/>
      <c r="M3" s="4"/>
      <c r="N3" s="9"/>
      <c r="O3" s="13"/>
    </row>
    <row r="4" spans="1:229" s="83" customFormat="1" ht="49.5" customHeight="1">
      <c r="A4" s="78" t="s">
        <v>31</v>
      </c>
      <c r="B4" s="79" t="s">
        <v>6</v>
      </c>
      <c r="C4" s="79" t="s">
        <v>1</v>
      </c>
      <c r="D4" s="79" t="s">
        <v>48</v>
      </c>
      <c r="E4" s="79" t="s">
        <v>49</v>
      </c>
      <c r="F4" s="79" t="s">
        <v>8</v>
      </c>
      <c r="G4" s="144" t="s">
        <v>133</v>
      </c>
      <c r="H4" s="144"/>
      <c r="I4" s="79" t="s">
        <v>117</v>
      </c>
      <c r="J4" s="80" t="s">
        <v>9</v>
      </c>
      <c r="K4" s="79" t="s">
        <v>81</v>
      </c>
      <c r="L4" s="79" t="s">
        <v>82</v>
      </c>
      <c r="M4" s="79" t="s">
        <v>10</v>
      </c>
      <c r="N4" s="80" t="s">
        <v>80</v>
      </c>
      <c r="O4" s="81" t="s">
        <v>32</v>
      </c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</row>
    <row r="5" spans="1:229" s="85" customFormat="1" ht="12" customHeight="1">
      <c r="A5" s="84">
        <v>101</v>
      </c>
      <c r="B5" s="85" t="s">
        <v>33</v>
      </c>
      <c r="C5" s="86" t="s">
        <v>63</v>
      </c>
      <c r="D5" s="86">
        <v>28</v>
      </c>
      <c r="E5" s="86">
        <v>86</v>
      </c>
      <c r="F5" s="53">
        <f>ROUND(VLOOKUP($C5,'Retribuciones 2021'!$H$7:$L$15,2,FALSE)*12,2)</f>
        <v>14572.68</v>
      </c>
      <c r="G5" s="53">
        <f>VLOOKUP($C5,'Retribuciones 2021'!$N$7:$Q$15,3,FALSE)*2+ROUND(VLOOKUP($D5,'Retribuciones 2021'!$H$17:$I$48,2,FALSE)*2,2)</f>
        <v>3321.7200000000003</v>
      </c>
      <c r="H5" s="87">
        <f>ROUND(('Retribuciones 2021'!$L$8*$E5*$H$60)*2,2)</f>
        <v>3804.64</v>
      </c>
      <c r="I5" s="88">
        <f>SUM(G5:H5)</f>
        <v>7126.360000000001</v>
      </c>
      <c r="J5" s="89">
        <f>SUM(F5:H5)</f>
        <v>21699.04</v>
      </c>
      <c r="K5" s="53">
        <f>ROUND(VLOOKUP($D5,'Retribuciones 2021'!$H$17:$I$48,2,FALSE)*12,2)</f>
        <v>10937.76</v>
      </c>
      <c r="L5" s="53">
        <f>ROUND('Retribuciones 2021'!$L$8*$E5*12,2)</f>
        <v>22827.84</v>
      </c>
      <c r="M5" s="55">
        <f>ROUND(VLOOKUP($C5,'Retribuciones 2021'!$H$7:$K$15,4,FALSE)*12,2)</f>
        <v>2254.44</v>
      </c>
      <c r="N5" s="89">
        <f>SUM(K5:M5)</f>
        <v>36020.04</v>
      </c>
      <c r="O5" s="90">
        <f>J5+N5</f>
        <v>57719.08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</row>
    <row r="6" spans="1:229" s="85" customFormat="1" ht="12" customHeight="1">
      <c r="A6" s="84">
        <v>102</v>
      </c>
      <c r="B6" s="85" t="s">
        <v>34</v>
      </c>
      <c r="C6" s="86" t="s">
        <v>63</v>
      </c>
      <c r="D6" s="86">
        <v>28</v>
      </c>
      <c r="E6" s="86">
        <v>86</v>
      </c>
      <c r="F6" s="53">
        <f>ROUND(VLOOKUP($C6,'Retribuciones 2021'!$H$7:$L$15,2,FALSE)*12,2)</f>
        <v>14572.68</v>
      </c>
      <c r="G6" s="53">
        <f>VLOOKUP($C6,'Retribuciones 2021'!$N$7:$Q$15,3,FALSE)*2+ROUND(VLOOKUP($D6,'Retribuciones 2021'!$H$17:$I$48,2,FALSE)*2,2)</f>
        <v>3321.7200000000003</v>
      </c>
      <c r="H6" s="87">
        <f>ROUND(('Retribuciones 2021'!$L$8*$E6*$H$60)*2,2)</f>
        <v>3804.64</v>
      </c>
      <c r="I6" s="88">
        <f aca="true" t="shared" si="0" ref="I6:I22">SUM(G6:H6)</f>
        <v>7126.360000000001</v>
      </c>
      <c r="J6" s="89">
        <f aca="true" t="shared" si="1" ref="J6:J36">SUM(F6:H6)</f>
        <v>21699.04</v>
      </c>
      <c r="K6" s="53">
        <f>ROUND(VLOOKUP($D6,'Retribuciones 2021'!$H$17:$I$48,2,FALSE)*12,2)</f>
        <v>10937.76</v>
      </c>
      <c r="L6" s="53">
        <f>ROUND('Retribuciones 2021'!$L$8*$E6*12,2)</f>
        <v>22827.84</v>
      </c>
      <c r="M6" s="55">
        <f>ROUND(VLOOKUP($C6,'Retribuciones 2021'!$H$7:$K$15,4,FALSE)*12,2)</f>
        <v>2254.44</v>
      </c>
      <c r="N6" s="89">
        <f aca="true" t="shared" si="2" ref="N6:N57">SUM(K6:M6)</f>
        <v>36020.04</v>
      </c>
      <c r="O6" s="90">
        <f aca="true" t="shared" si="3" ref="O6:O57">J6+N6</f>
        <v>57719.08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</row>
    <row r="7" spans="1:229" s="85" customFormat="1" ht="12" customHeight="1">
      <c r="A7" s="84">
        <v>104</v>
      </c>
      <c r="B7" s="85" t="s">
        <v>146</v>
      </c>
      <c r="C7" s="86" t="s">
        <v>63</v>
      </c>
      <c r="D7" s="86">
        <v>24</v>
      </c>
      <c r="E7" s="86">
        <v>53</v>
      </c>
      <c r="F7" s="53">
        <f>ROUND(VLOOKUP($C7,'Retribuciones 2021'!$H$7:$L$15,2,FALSE)*12,2)</f>
        <v>14572.68</v>
      </c>
      <c r="G7" s="53">
        <f>VLOOKUP($C7,'Retribuciones 2021'!$N$7:$Q$15,3,FALSE)*2+ROUND(VLOOKUP($D7,'Retribuciones 2021'!$H$17:$I$48,2,FALSE)*2,2)</f>
        <v>2775.34</v>
      </c>
      <c r="H7" s="87">
        <f>ROUND(('Retribuciones 2021'!$L$8*$E7*$H$60)*2,2)</f>
        <v>2344.72</v>
      </c>
      <c r="I7" s="88">
        <f t="shared" si="0"/>
        <v>5120.0599999999995</v>
      </c>
      <c r="J7" s="89">
        <f t="shared" si="1"/>
        <v>19692.74</v>
      </c>
      <c r="K7" s="53">
        <f>ROUND(VLOOKUP($D7,'Retribuciones 2021'!$H$17:$I$48,2,FALSE)*12,2)</f>
        <v>7659.48</v>
      </c>
      <c r="L7" s="53">
        <f>ROUND('Retribuciones 2021'!$L$8*$E7*12,2)</f>
        <v>14068.32</v>
      </c>
      <c r="M7" s="55">
        <f>ROUND(VLOOKUP($C7,'Retribuciones 2021'!$H$7:$K$15,4,FALSE)*12,2)</f>
        <v>2254.44</v>
      </c>
      <c r="N7" s="89">
        <f t="shared" si="2"/>
        <v>23982.239999999998</v>
      </c>
      <c r="O7" s="90">
        <f t="shared" si="3"/>
        <v>43674.979999999996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</row>
    <row r="8" spans="1:229" s="85" customFormat="1" ht="12" customHeight="1">
      <c r="A8" s="84">
        <v>105</v>
      </c>
      <c r="B8" s="91" t="s">
        <v>35</v>
      </c>
      <c r="C8" s="86" t="s">
        <v>63</v>
      </c>
      <c r="D8" s="86">
        <v>26</v>
      </c>
      <c r="E8" s="86">
        <v>65</v>
      </c>
      <c r="F8" s="53">
        <f>ROUND(VLOOKUP($C8,'Retribuciones 2021'!$H$7:$L$15,2,FALSE)*12,2)</f>
        <v>14572.68</v>
      </c>
      <c r="G8" s="53">
        <f>VLOOKUP($C8,'Retribuciones 2021'!$N$7:$Q$15,3,FALSE)*2+ROUND(VLOOKUP($D8,'Retribuciones 2021'!$H$17:$I$48,2,FALSE)*2,2)</f>
        <v>3027.84</v>
      </c>
      <c r="H8" s="87">
        <f>ROUND(('Retribuciones 2021'!$L$8*$E8*$H$60)*2,2)</f>
        <v>2875.6</v>
      </c>
      <c r="I8" s="88">
        <f t="shared" si="0"/>
        <v>5903.4400000000005</v>
      </c>
      <c r="J8" s="89">
        <f t="shared" si="1"/>
        <v>20476.12</v>
      </c>
      <c r="K8" s="53">
        <f>ROUND(VLOOKUP($D8,'Retribuciones 2021'!$H$17:$I$48,2,FALSE)*12,2)</f>
        <v>9174.48</v>
      </c>
      <c r="L8" s="53">
        <f>ROUND('Retribuciones 2021'!$L$8*$E8*12,2)</f>
        <v>17253.6</v>
      </c>
      <c r="M8" s="55">
        <f>ROUND(VLOOKUP($C8,'Retribuciones 2021'!$H$7:$K$15,4,FALSE)*12,2)</f>
        <v>2254.44</v>
      </c>
      <c r="N8" s="89">
        <f t="shared" si="2"/>
        <v>28682.519999999997</v>
      </c>
      <c r="O8" s="90">
        <f t="shared" si="3"/>
        <v>49158.64</v>
      </c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</row>
    <row r="9" spans="1:229" s="85" customFormat="1" ht="12" customHeight="1">
      <c r="A9" s="84">
        <v>108</v>
      </c>
      <c r="B9" s="91" t="s">
        <v>37</v>
      </c>
      <c r="C9" s="86" t="s">
        <v>63</v>
      </c>
      <c r="D9" s="86">
        <v>24</v>
      </c>
      <c r="E9" s="86">
        <v>60</v>
      </c>
      <c r="F9" s="53">
        <f>ROUND(VLOOKUP($C9,'Retribuciones 2021'!$H$7:$L$15,2,FALSE)*12,2)</f>
        <v>14572.68</v>
      </c>
      <c r="G9" s="53">
        <f>VLOOKUP($C9,'Retribuciones 2021'!$N$7:$Q$15,3,FALSE)*2+ROUND(VLOOKUP($D9,'Retribuciones 2021'!$H$17:$I$48,2,FALSE)*2,2)</f>
        <v>2775.34</v>
      </c>
      <c r="H9" s="87">
        <f>ROUND(('Retribuciones 2021'!$L$8*$E9*$H$60)*2,2)</f>
        <v>2654.4</v>
      </c>
      <c r="I9" s="88">
        <f t="shared" si="0"/>
        <v>5429.74</v>
      </c>
      <c r="J9" s="89">
        <f t="shared" si="1"/>
        <v>20002.420000000002</v>
      </c>
      <c r="K9" s="53">
        <f>ROUND(VLOOKUP($D9,'Retribuciones 2021'!$H$17:$I$48,2,FALSE)*12,2)</f>
        <v>7659.48</v>
      </c>
      <c r="L9" s="53">
        <f>ROUND('Retribuciones 2021'!$L$8*$E9*12,2)</f>
        <v>15926.4</v>
      </c>
      <c r="M9" s="55">
        <f>ROUND(VLOOKUP($C9,'Retribuciones 2021'!$H$7:$K$15,4,FALSE)*12,2)</f>
        <v>2254.44</v>
      </c>
      <c r="N9" s="89">
        <f t="shared" si="2"/>
        <v>25840.319999999996</v>
      </c>
      <c r="O9" s="90">
        <f t="shared" si="3"/>
        <v>45842.74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</row>
    <row r="10" spans="1:229" s="85" customFormat="1" ht="12" customHeight="1">
      <c r="A10" s="84">
        <v>109</v>
      </c>
      <c r="B10" s="91" t="s">
        <v>38</v>
      </c>
      <c r="C10" s="86" t="s">
        <v>63</v>
      </c>
      <c r="D10" s="86">
        <v>26</v>
      </c>
      <c r="E10" s="86">
        <v>65</v>
      </c>
      <c r="F10" s="53">
        <f>ROUND(VLOOKUP($C10,'Retribuciones 2021'!$H$7:$L$15,2,FALSE)*12,2)</f>
        <v>14572.68</v>
      </c>
      <c r="G10" s="53">
        <f>VLOOKUP($C10,'Retribuciones 2021'!$N$7:$Q$15,3,FALSE)*2+ROUND(VLOOKUP($D10,'Retribuciones 2021'!$H$17:$I$48,2,FALSE)*2,2)</f>
        <v>3027.84</v>
      </c>
      <c r="H10" s="87">
        <f>ROUND(('Retribuciones 2021'!$L$8*$E10*$H$60)*2,2)</f>
        <v>2875.6</v>
      </c>
      <c r="I10" s="88">
        <f t="shared" si="0"/>
        <v>5903.4400000000005</v>
      </c>
      <c r="J10" s="89">
        <f t="shared" si="1"/>
        <v>20476.12</v>
      </c>
      <c r="K10" s="53">
        <f>ROUND(VLOOKUP($D10,'Retribuciones 2021'!$H$17:$I$48,2,FALSE)*12,2)</f>
        <v>9174.48</v>
      </c>
      <c r="L10" s="53">
        <f>ROUND('Retribuciones 2021'!$L$8*$E10*12,2)</f>
        <v>17253.6</v>
      </c>
      <c r="M10" s="55">
        <f>ROUND(VLOOKUP($C10,'Retribuciones 2021'!$H$7:$K$15,4,FALSE)*12,2)</f>
        <v>2254.44</v>
      </c>
      <c r="N10" s="89">
        <f t="shared" si="2"/>
        <v>28682.519999999997</v>
      </c>
      <c r="O10" s="90">
        <f t="shared" si="3"/>
        <v>49158.64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</row>
    <row r="11" spans="1:229" s="85" customFormat="1" ht="12" customHeight="1">
      <c r="A11" s="84">
        <v>112</v>
      </c>
      <c r="B11" s="91" t="s">
        <v>39</v>
      </c>
      <c r="C11" s="86" t="s">
        <v>64</v>
      </c>
      <c r="D11" s="86">
        <v>24</v>
      </c>
      <c r="E11" s="86">
        <v>60</v>
      </c>
      <c r="F11" s="53">
        <f>ROUND(VLOOKUP($C11,'Retribuciones 2021'!$H$7:$L$15,2,FALSE)*12,2)</f>
        <v>14572.68</v>
      </c>
      <c r="G11" s="53">
        <f>VLOOKUP($C11,'Retribuciones 2021'!$N$7:$Q$15,3,FALSE)*2+ROUND(VLOOKUP($D11,'Retribuciones 2021'!$H$17:$I$48,2,FALSE)*2,2)</f>
        <v>2775.34</v>
      </c>
      <c r="H11" s="87">
        <f>ROUND(('Retribuciones 2021'!$L$8*$E11*$H$60)*2,2)</f>
        <v>2654.4</v>
      </c>
      <c r="I11" s="88">
        <f t="shared" si="0"/>
        <v>5429.74</v>
      </c>
      <c r="J11" s="89">
        <f t="shared" si="1"/>
        <v>20002.420000000002</v>
      </c>
      <c r="K11" s="53">
        <f>ROUND(VLOOKUP($D11,'Retribuciones 2021'!$H$17:$I$48,2,FALSE)*12,2)</f>
        <v>7659.48</v>
      </c>
      <c r="L11" s="53">
        <f>ROUND('Retribuciones 2021'!$L$8*$E11*12,2)</f>
        <v>15926.4</v>
      </c>
      <c r="M11" s="55">
        <f>ROUND(VLOOKUP($C11,'Retribuciones 2021'!$H$7:$K$15,4,FALSE)*12,2)</f>
        <v>2254.44</v>
      </c>
      <c r="N11" s="89">
        <f t="shared" si="2"/>
        <v>25840.319999999996</v>
      </c>
      <c r="O11" s="90">
        <f t="shared" si="3"/>
        <v>45842.74</v>
      </c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</row>
    <row r="12" spans="1:229" s="85" customFormat="1" ht="12" customHeight="1">
      <c r="A12" s="84">
        <v>113</v>
      </c>
      <c r="B12" s="91" t="s">
        <v>40</v>
      </c>
      <c r="C12" s="86" t="s">
        <v>64</v>
      </c>
      <c r="D12" s="86">
        <v>24</v>
      </c>
      <c r="E12" s="86">
        <v>60</v>
      </c>
      <c r="F12" s="53">
        <f>ROUND(VLOOKUP($C12,'Retribuciones 2021'!$H$7:$L$15,2,FALSE)*12,2)</f>
        <v>14572.68</v>
      </c>
      <c r="G12" s="53">
        <f>VLOOKUP($C12,'Retribuciones 2021'!$N$7:$Q$15,3,FALSE)*2+ROUND(VLOOKUP($D12,'Retribuciones 2021'!$H$17:$I$48,2,FALSE)*2,2)</f>
        <v>2775.34</v>
      </c>
      <c r="H12" s="87">
        <f>ROUND(('Retribuciones 2021'!$L$8*$E12*$H$60)*2,2)</f>
        <v>2654.4</v>
      </c>
      <c r="I12" s="88">
        <f t="shared" si="0"/>
        <v>5429.74</v>
      </c>
      <c r="J12" s="89">
        <f t="shared" si="1"/>
        <v>20002.420000000002</v>
      </c>
      <c r="K12" s="53">
        <f>ROUND(VLOOKUP($D12,'Retribuciones 2021'!$H$17:$I$48,2,FALSE)*12,2)</f>
        <v>7659.48</v>
      </c>
      <c r="L12" s="53">
        <f>ROUND('Retribuciones 2021'!$L$8*$E12*12,2)</f>
        <v>15926.4</v>
      </c>
      <c r="M12" s="55">
        <f>ROUND(VLOOKUP($C12,'Retribuciones 2021'!$H$7:$K$15,4,FALSE)*12,2)</f>
        <v>2254.44</v>
      </c>
      <c r="N12" s="89">
        <f t="shared" si="2"/>
        <v>25840.319999999996</v>
      </c>
      <c r="O12" s="90">
        <f t="shared" si="3"/>
        <v>45842.74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</row>
    <row r="13" spans="1:229" s="85" customFormat="1" ht="12" customHeight="1">
      <c r="A13" s="84">
        <v>157</v>
      </c>
      <c r="B13" s="91" t="s">
        <v>147</v>
      </c>
      <c r="C13" s="86" t="s">
        <v>65</v>
      </c>
      <c r="D13" s="86">
        <v>24</v>
      </c>
      <c r="E13" s="86">
        <v>53</v>
      </c>
      <c r="F13" s="53">
        <f>ROUND(VLOOKUP($C13,'Retribuciones 2021'!$H$7:$L$15,2,FALSE)*12,2)</f>
        <v>12600.72</v>
      </c>
      <c r="G13" s="53">
        <f>VLOOKUP($C13,'Retribuciones 2021'!$N$7:$Q$15,3,FALSE)*2+ROUND(VLOOKUP($D13,'Retribuciones 2021'!$H$17:$I$48,2,FALSE)*2,2)</f>
        <v>2808.24</v>
      </c>
      <c r="H13" s="87">
        <f>ROUND(('Retribuciones 2021'!$L$8*$E13*$H$60)*2,2)</f>
        <v>2344.72</v>
      </c>
      <c r="I13" s="88">
        <f t="shared" si="0"/>
        <v>5152.959999999999</v>
      </c>
      <c r="J13" s="89">
        <f t="shared" si="1"/>
        <v>17753.68</v>
      </c>
      <c r="K13" s="53">
        <f>ROUND(VLOOKUP($D13,'Retribuciones 2021'!$H$17:$I$48,2,FALSE)*12,2)</f>
        <v>7659.48</v>
      </c>
      <c r="L13" s="53">
        <f>ROUND('Retribuciones 2021'!$L$8*$E13*12,2)</f>
        <v>14068.32</v>
      </c>
      <c r="M13" s="55">
        <f>ROUND(VLOOKUP($C13,'Retribuciones 2021'!$H$7:$K$15,4,FALSE)*12,2)</f>
        <v>1842.6</v>
      </c>
      <c r="N13" s="89">
        <f t="shared" si="2"/>
        <v>23570.399999999998</v>
      </c>
      <c r="O13" s="90">
        <f t="shared" si="3"/>
        <v>41324.08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</row>
    <row r="14" spans="1:229" s="85" customFormat="1" ht="12" customHeight="1">
      <c r="A14" s="84">
        <v>115</v>
      </c>
      <c r="B14" s="91" t="s">
        <v>148</v>
      </c>
      <c r="C14" s="86" t="s">
        <v>65</v>
      </c>
      <c r="D14" s="86">
        <v>24</v>
      </c>
      <c r="E14" s="86">
        <v>46</v>
      </c>
      <c r="F14" s="53">
        <f>ROUND(VLOOKUP($C14,'Retribuciones 2021'!$H$7:$L$15,2,FALSE)*12,2)</f>
        <v>12600.72</v>
      </c>
      <c r="G14" s="53">
        <f>VLOOKUP($C14,'Retribuciones 2021'!$N$7:$Q$15,3,FALSE)*2+ROUND(VLOOKUP($D14,'Retribuciones 2021'!$H$17:$I$48,2,FALSE)*2,2)</f>
        <v>2808.24</v>
      </c>
      <c r="H14" s="87">
        <f>ROUND(('Retribuciones 2021'!$L$8*$E14*$H$60)*2,2)</f>
        <v>2035.04</v>
      </c>
      <c r="I14" s="88">
        <f t="shared" si="0"/>
        <v>4843.28</v>
      </c>
      <c r="J14" s="89">
        <f t="shared" si="1"/>
        <v>17444</v>
      </c>
      <c r="K14" s="53">
        <f>ROUND(VLOOKUP($D14,'Retribuciones 2021'!$H$17:$I$48,2,FALSE)*12,2)</f>
        <v>7659.48</v>
      </c>
      <c r="L14" s="53">
        <f>ROUND('Retribuciones 2021'!$L$8*$E14*12,2)</f>
        <v>12210.24</v>
      </c>
      <c r="M14" s="55">
        <f>ROUND(VLOOKUP($C14,'Retribuciones 2021'!$H$7:$K$15,4,FALSE)*12,2)</f>
        <v>1842.6</v>
      </c>
      <c r="N14" s="89">
        <f t="shared" si="2"/>
        <v>21712.32</v>
      </c>
      <c r="O14" s="90">
        <f t="shared" si="3"/>
        <v>39156.32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</row>
    <row r="15" spans="1:229" s="92" customFormat="1" ht="12" customHeight="1">
      <c r="A15" s="84">
        <v>116</v>
      </c>
      <c r="B15" s="91" t="s">
        <v>109</v>
      </c>
      <c r="C15" s="86" t="s">
        <v>65</v>
      </c>
      <c r="D15" s="86">
        <v>24</v>
      </c>
      <c r="E15" s="86">
        <v>46</v>
      </c>
      <c r="F15" s="53">
        <f>ROUND(VLOOKUP($C15,'Retribuciones 2021'!$H$7:$L$15,2,FALSE)*12,2)</f>
        <v>12600.72</v>
      </c>
      <c r="G15" s="53">
        <f>VLOOKUP($C15,'Retribuciones 2021'!$N$7:$Q$15,3,FALSE)*2+ROUND(VLOOKUP($D15,'Retribuciones 2021'!$H$17:$I$48,2,FALSE)*2,2)</f>
        <v>2808.24</v>
      </c>
      <c r="H15" s="87">
        <f>ROUND(('Retribuciones 2021'!$L$8*$E15*$H$60)*2,2)</f>
        <v>2035.04</v>
      </c>
      <c r="I15" s="88">
        <f t="shared" si="0"/>
        <v>4843.28</v>
      </c>
      <c r="J15" s="89">
        <f t="shared" si="1"/>
        <v>17444</v>
      </c>
      <c r="K15" s="53">
        <f>ROUND(VLOOKUP($D15,'Retribuciones 2021'!$H$17:$I$48,2,FALSE)*12,2)</f>
        <v>7659.48</v>
      </c>
      <c r="L15" s="53">
        <f>ROUND('Retribuciones 2021'!$L$8*$E15*12,2)</f>
        <v>12210.24</v>
      </c>
      <c r="M15" s="55">
        <f>ROUND(VLOOKUP($C15,'Retribuciones 2021'!$H$7:$K$15,4,FALSE)*12,2)</f>
        <v>1842.6</v>
      </c>
      <c r="N15" s="89">
        <f t="shared" si="2"/>
        <v>21712.32</v>
      </c>
      <c r="O15" s="90">
        <f t="shared" si="3"/>
        <v>39156.32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</row>
    <row r="16" spans="1:229" s="92" customFormat="1" ht="12" customHeight="1">
      <c r="A16" s="84">
        <v>185</v>
      </c>
      <c r="B16" s="91" t="s">
        <v>145</v>
      </c>
      <c r="C16" s="86" t="s">
        <v>65</v>
      </c>
      <c r="D16" s="86">
        <v>24</v>
      </c>
      <c r="E16" s="86">
        <v>46</v>
      </c>
      <c r="F16" s="53">
        <f>ROUND(VLOOKUP($C16,'Retribuciones 2021'!$H$7:$L$15,2,FALSE)*12,2)</f>
        <v>12600.72</v>
      </c>
      <c r="G16" s="53">
        <f>VLOOKUP($C16,'Retribuciones 2021'!$N$7:$Q$15,3,FALSE)*2+ROUND(VLOOKUP($D16,'Retribuciones 2021'!$H$17:$I$48,2,FALSE)*2,2)</f>
        <v>2808.24</v>
      </c>
      <c r="H16" s="87">
        <f>ROUND(('Retribuciones 2021'!$L$8*$E16*$H$60)*2,2)</f>
        <v>2035.04</v>
      </c>
      <c r="I16" s="88">
        <f t="shared" si="0"/>
        <v>4843.28</v>
      </c>
      <c r="J16" s="89">
        <f>SUM(F16:H16)</f>
        <v>17444</v>
      </c>
      <c r="K16" s="53">
        <f>ROUND(VLOOKUP($D16,'Retribuciones 2021'!$H$17:$I$48,2,FALSE)*12,2)</f>
        <v>7659.48</v>
      </c>
      <c r="L16" s="53">
        <f>ROUND('Retribuciones 2021'!$L$8*$E16*12,2)</f>
        <v>12210.24</v>
      </c>
      <c r="M16" s="55">
        <f>ROUND(VLOOKUP($C16,'Retribuciones 2021'!$H$7:$K$15,4,FALSE)*12,2)</f>
        <v>1842.6</v>
      </c>
      <c r="N16" s="89">
        <f>SUM(K16:M16)</f>
        <v>21712.32</v>
      </c>
      <c r="O16" s="90">
        <f>J16+N16</f>
        <v>39156.32</v>
      </c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</row>
    <row r="17" spans="1:229" s="85" customFormat="1" ht="12" customHeight="1">
      <c r="A17" s="84">
        <v>119</v>
      </c>
      <c r="B17" s="91" t="s">
        <v>127</v>
      </c>
      <c r="C17" s="86" t="s">
        <v>65</v>
      </c>
      <c r="D17" s="86">
        <v>24</v>
      </c>
      <c r="E17" s="86">
        <v>46</v>
      </c>
      <c r="F17" s="53">
        <f>ROUND(VLOOKUP($C17,'Retribuciones 2021'!$H$7:$L$15,2,FALSE)*12,2)</f>
        <v>12600.72</v>
      </c>
      <c r="G17" s="53">
        <f>VLOOKUP($C17,'Retribuciones 2021'!$N$7:$Q$15,3,FALSE)*2+ROUND(VLOOKUP($D17,'Retribuciones 2021'!$H$17:$I$48,2,FALSE)*2,2)</f>
        <v>2808.24</v>
      </c>
      <c r="H17" s="87">
        <f>ROUND(('Retribuciones 2021'!$L$8*$E17*$H$60)*2,2)</f>
        <v>2035.04</v>
      </c>
      <c r="I17" s="88">
        <f t="shared" si="0"/>
        <v>4843.28</v>
      </c>
      <c r="J17" s="89">
        <f t="shared" si="1"/>
        <v>17444</v>
      </c>
      <c r="K17" s="53">
        <f>ROUND(VLOOKUP($D17,'Retribuciones 2021'!$H$17:$I$48,2,FALSE)*12,2)</f>
        <v>7659.48</v>
      </c>
      <c r="L17" s="53">
        <f>ROUND('Retribuciones 2021'!$L$8*$E17*12,2)</f>
        <v>12210.24</v>
      </c>
      <c r="M17" s="55">
        <f>ROUND(VLOOKUP($C17,'Retribuciones 2021'!$H$7:$K$15,4,FALSE)*12,2)</f>
        <v>1842.6</v>
      </c>
      <c r="N17" s="89">
        <f t="shared" si="2"/>
        <v>21712.32</v>
      </c>
      <c r="O17" s="90">
        <f t="shared" si="3"/>
        <v>39156.32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</row>
    <row r="18" spans="1:229" s="85" customFormat="1" ht="12" customHeight="1">
      <c r="A18" s="84">
        <v>121</v>
      </c>
      <c r="B18" s="91" t="s">
        <v>112</v>
      </c>
      <c r="C18" s="86" t="s">
        <v>65</v>
      </c>
      <c r="D18" s="86">
        <v>24</v>
      </c>
      <c r="E18" s="86">
        <v>60</v>
      </c>
      <c r="F18" s="53">
        <f>ROUND(VLOOKUP($C18,'Retribuciones 2021'!$H$7:$L$15,2,FALSE)*12,2)</f>
        <v>12600.72</v>
      </c>
      <c r="G18" s="53">
        <f>VLOOKUP($C18,'Retribuciones 2021'!$N$7:$Q$15,3,FALSE)*2+ROUND(VLOOKUP($D18,'Retribuciones 2021'!$H$17:$I$48,2,FALSE)*2,2)</f>
        <v>2808.24</v>
      </c>
      <c r="H18" s="87">
        <f>ROUND(('Retribuciones 2021'!$L$8*$E18*$H$60)*2,2)</f>
        <v>2654.4</v>
      </c>
      <c r="I18" s="88">
        <f t="shared" si="0"/>
        <v>5462.639999999999</v>
      </c>
      <c r="J18" s="89">
        <f t="shared" si="1"/>
        <v>18063.36</v>
      </c>
      <c r="K18" s="53">
        <f>ROUND(VLOOKUP($D18,'Retribuciones 2021'!$H$17:$I$48,2,FALSE)*12,2)</f>
        <v>7659.48</v>
      </c>
      <c r="L18" s="53">
        <f>ROUND('Retribuciones 2021'!$L$8*$E18*12,2)</f>
        <v>15926.4</v>
      </c>
      <c r="M18" s="55">
        <f>ROUND(VLOOKUP($C18,'Retribuciones 2021'!$H$7:$K$15,4,FALSE)*12,2)</f>
        <v>1842.6</v>
      </c>
      <c r="N18" s="89">
        <f t="shared" si="2"/>
        <v>25428.479999999996</v>
      </c>
      <c r="O18" s="90">
        <f t="shared" si="3"/>
        <v>43491.84</v>
      </c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</row>
    <row r="19" spans="1:229" s="85" customFormat="1" ht="12" customHeight="1">
      <c r="A19" s="84">
        <v>122</v>
      </c>
      <c r="B19" s="91" t="s">
        <v>41</v>
      </c>
      <c r="C19" s="86" t="s">
        <v>66</v>
      </c>
      <c r="D19" s="86">
        <v>20</v>
      </c>
      <c r="E19" s="86">
        <v>27</v>
      </c>
      <c r="F19" s="53">
        <f>ROUND(VLOOKUP($C19,'Retribuciones 2021'!$H$7:$L$15,2,FALSE)*12,2)</f>
        <v>9461.04</v>
      </c>
      <c r="G19" s="53">
        <f>VLOOKUP($C19,'Retribuciones 2021'!$N$7:$Q$15,3,FALSE)*2+ROUND(VLOOKUP($D19,'Retribuciones 2021'!$H$17:$I$48,2,FALSE)*2,2)</f>
        <v>2325.8199999999997</v>
      </c>
      <c r="H19" s="87">
        <f>ROUND(('Retribuciones 2021'!$L$8*$E19*$H$60)*2,2)</f>
        <v>1194.48</v>
      </c>
      <c r="I19" s="88">
        <f t="shared" si="0"/>
        <v>3520.2999999999997</v>
      </c>
      <c r="J19" s="89">
        <f t="shared" si="1"/>
        <v>12981.34</v>
      </c>
      <c r="K19" s="53">
        <f>ROUND(VLOOKUP($D19,'Retribuciones 2021'!$H$17:$I$48,2,FALSE)*12,2)</f>
        <v>5777.76</v>
      </c>
      <c r="L19" s="53">
        <f>ROUND('Retribuciones 2021'!$L$8*$E19*12,2)</f>
        <v>7166.88</v>
      </c>
      <c r="M19" s="55">
        <f>ROUND(VLOOKUP($C19,'Retribuciones 2021'!$H$7:$K$15,4,FALSE)*12,2)</f>
        <v>1519.08</v>
      </c>
      <c r="N19" s="89">
        <f t="shared" si="2"/>
        <v>14463.72</v>
      </c>
      <c r="O19" s="90">
        <f t="shared" si="3"/>
        <v>27445.059999999998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</row>
    <row r="20" spans="1:229" s="85" customFormat="1" ht="12" customHeight="1">
      <c r="A20" s="84">
        <v>154</v>
      </c>
      <c r="B20" s="91" t="s">
        <v>57</v>
      </c>
      <c r="C20" s="86" t="s">
        <v>67</v>
      </c>
      <c r="D20" s="86">
        <v>16</v>
      </c>
      <c r="E20" s="86">
        <v>30</v>
      </c>
      <c r="F20" s="53">
        <f>ROUND(VLOOKUP($C20,'Retribuciones 2021'!$H$7:$L$15,2,FALSE)*12,2)</f>
        <v>7874.16</v>
      </c>
      <c r="G20" s="53">
        <f>VLOOKUP($C20,'Retribuciones 2021'!$N$7:$Q$15,3,FALSE)*2+ROUND(VLOOKUP($D20,'Retribuciones 2021'!$H$17:$I$48,2,FALSE)*2,2)</f>
        <v>2066.78</v>
      </c>
      <c r="H20" s="87">
        <f>ROUND(('Retribuciones 2021'!$L$8*$E20*$H$60)*2,2)</f>
        <v>1327.2</v>
      </c>
      <c r="I20" s="88">
        <f t="shared" si="0"/>
        <v>3393.9800000000005</v>
      </c>
      <c r="J20" s="89">
        <f t="shared" si="1"/>
        <v>11268.140000000001</v>
      </c>
      <c r="K20" s="53">
        <f>ROUND(VLOOKUP($D20,'Retribuciones 2021'!$H$17:$I$48,2,FALSE)*12,2)</f>
        <v>4598.28</v>
      </c>
      <c r="L20" s="53">
        <f>ROUND('Retribuciones 2021'!$L$8*$E20*12,2)</f>
        <v>7963.2</v>
      </c>
      <c r="M20" s="55">
        <f>ROUND(VLOOKUP($C20,'Retribuciones 2021'!$H$7:$K$15,4,FALSE)*12,2)</f>
        <v>1252.32</v>
      </c>
      <c r="N20" s="89">
        <f t="shared" si="2"/>
        <v>13813.8</v>
      </c>
      <c r="O20" s="90">
        <f t="shared" si="3"/>
        <v>25081.940000000002</v>
      </c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</row>
    <row r="21" spans="1:229" s="85" customFormat="1" ht="12.75" customHeight="1">
      <c r="A21" s="84">
        <v>128</v>
      </c>
      <c r="B21" s="91" t="s">
        <v>42</v>
      </c>
      <c r="C21" s="86" t="s">
        <v>67</v>
      </c>
      <c r="D21" s="86">
        <v>18</v>
      </c>
      <c r="E21" s="86">
        <v>32</v>
      </c>
      <c r="F21" s="53">
        <f>ROUND(VLOOKUP($C21,'Retribuciones 2021'!$H$7:$L$15,2,FALSE)*12,2)</f>
        <v>7874.16</v>
      </c>
      <c r="G21" s="53">
        <f>VLOOKUP($C21,'Retribuciones 2021'!$N$7:$Q$15,3,FALSE)*2+ROUND(VLOOKUP($D21,'Retribuciones 2021'!$H$17:$I$48,2,FALSE)*2,2)</f>
        <v>2165.04</v>
      </c>
      <c r="H21" s="87">
        <f>ROUND(('Retribuciones 2021'!$L$8*$E21*$H$60)*2,2)</f>
        <v>1415.68</v>
      </c>
      <c r="I21" s="88">
        <f t="shared" si="0"/>
        <v>3580.7200000000003</v>
      </c>
      <c r="J21" s="89">
        <f t="shared" si="1"/>
        <v>11454.880000000001</v>
      </c>
      <c r="K21" s="53">
        <f>ROUND(VLOOKUP($D21,'Retribuciones 2021'!$H$17:$I$48,2,FALSE)*12,2)</f>
        <v>5187.84</v>
      </c>
      <c r="L21" s="53">
        <f>ROUND('Retribuciones 2021'!$L$8*$E21*12,2)</f>
        <v>8494.08</v>
      </c>
      <c r="M21" s="55">
        <f>ROUND(VLOOKUP($C21,'Retribuciones 2021'!$H$7:$K$15,4,FALSE)*12,2)</f>
        <v>1252.32</v>
      </c>
      <c r="N21" s="89">
        <f t="shared" si="2"/>
        <v>14934.24</v>
      </c>
      <c r="O21" s="90">
        <f t="shared" si="3"/>
        <v>26389.120000000003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</row>
    <row r="22" spans="1:229" s="93" customFormat="1" ht="12" customHeight="1">
      <c r="A22" s="84">
        <v>130</v>
      </c>
      <c r="B22" s="91" t="s">
        <v>84</v>
      </c>
      <c r="C22" s="86" t="s">
        <v>65</v>
      </c>
      <c r="D22" s="86">
        <v>24</v>
      </c>
      <c r="E22" s="86">
        <v>60</v>
      </c>
      <c r="F22" s="53">
        <f>ROUND(VLOOKUP($C22,'Retribuciones 2021'!$H$7:$L$15,2,FALSE)*12,2)</f>
        <v>12600.72</v>
      </c>
      <c r="G22" s="53">
        <f>VLOOKUP($C22,'Retribuciones 2021'!$N$7:$Q$15,3,FALSE)*2+ROUND(VLOOKUP($D22,'Retribuciones 2021'!$H$17:$I$48,2,FALSE)*2,2)</f>
        <v>2808.24</v>
      </c>
      <c r="H22" s="87">
        <f>ROUND(('Retribuciones 2021'!$L$8*$E22*$H$60)*2,2)</f>
        <v>2654.4</v>
      </c>
      <c r="I22" s="88">
        <f t="shared" si="0"/>
        <v>5462.639999999999</v>
      </c>
      <c r="J22" s="89">
        <f t="shared" si="1"/>
        <v>18063.36</v>
      </c>
      <c r="K22" s="53">
        <f>ROUND(VLOOKUP($D22,'Retribuciones 2021'!$H$17:$I$48,2,FALSE)*12,2)</f>
        <v>7659.48</v>
      </c>
      <c r="L22" s="53">
        <f>ROUND('Retribuciones 2021'!$L$8*$E22*12,2)</f>
        <v>15926.4</v>
      </c>
      <c r="M22" s="55">
        <f>ROUND(VLOOKUP($C22,'Retribuciones 2021'!$H$7:$K$15,4,FALSE)*12,2)</f>
        <v>1842.6</v>
      </c>
      <c r="N22" s="89">
        <f t="shared" si="2"/>
        <v>25428.479999999996</v>
      </c>
      <c r="O22" s="90">
        <f t="shared" si="3"/>
        <v>43491.84</v>
      </c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</row>
    <row r="23" spans="1:229" s="85" customFormat="1" ht="12" customHeight="1">
      <c r="A23" s="84">
        <v>131</v>
      </c>
      <c r="B23" s="91" t="s">
        <v>125</v>
      </c>
      <c r="C23" s="86" t="s">
        <v>63</v>
      </c>
      <c r="D23" s="86">
        <v>24</v>
      </c>
      <c r="E23" s="86">
        <v>60</v>
      </c>
      <c r="F23" s="53">
        <f>ROUND(VLOOKUP($C23,'Retribuciones 2021'!$H$7:$L$15,2,FALSE)*12,2)</f>
        <v>14572.68</v>
      </c>
      <c r="G23" s="53">
        <f>VLOOKUP($C23,'Retribuciones 2021'!$N$7:$Q$15,3,FALSE)*2+ROUND(VLOOKUP($D23,'Retribuciones 2021'!$H$17:$I$48,2,FALSE)*2,2)</f>
        <v>2775.34</v>
      </c>
      <c r="H23" s="87">
        <f>ROUND(('Retribuciones 2021'!$L$8*$E23*$H$60)*2,2)</f>
        <v>2654.4</v>
      </c>
      <c r="I23" s="88">
        <f>SUM(G23:H23)</f>
        <v>5429.74</v>
      </c>
      <c r="J23" s="89">
        <f>SUM(F23:H23)</f>
        <v>20002.420000000002</v>
      </c>
      <c r="K23" s="53">
        <f>ROUND(VLOOKUP($D23,'Retribuciones 2021'!$H$17:$I$48,2,FALSE)*12,2)</f>
        <v>7659.48</v>
      </c>
      <c r="L23" s="53">
        <f>ROUND('Retribuciones 2021'!$L$8*$E23*12,2)</f>
        <v>15926.4</v>
      </c>
      <c r="M23" s="55">
        <f>ROUND(VLOOKUP($C23,'Retribuciones 2021'!$H$7:$K$15,4,FALSE)*12,2)</f>
        <v>2254.44</v>
      </c>
      <c r="N23" s="89">
        <f t="shared" si="2"/>
        <v>25840.319999999996</v>
      </c>
      <c r="O23" s="90">
        <f t="shared" si="3"/>
        <v>45842.74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</row>
    <row r="24" spans="1:229" s="85" customFormat="1" ht="12" customHeight="1">
      <c r="A24" s="84">
        <v>132</v>
      </c>
      <c r="B24" s="91" t="s">
        <v>43</v>
      </c>
      <c r="C24" s="86" t="s">
        <v>64</v>
      </c>
      <c r="D24" s="86">
        <v>24</v>
      </c>
      <c r="E24" s="86">
        <v>60</v>
      </c>
      <c r="F24" s="53">
        <f>ROUND(VLOOKUP($C24,'Retribuciones 2021'!$H$7:$L$15,2,FALSE)*12,2)</f>
        <v>14572.68</v>
      </c>
      <c r="G24" s="53">
        <f>VLOOKUP($C24,'Retribuciones 2021'!$N$7:$Q$15,3,FALSE)*2+ROUND(VLOOKUP($D24,'Retribuciones 2021'!$H$17:$I$48,2,FALSE)*2,2)</f>
        <v>2775.34</v>
      </c>
      <c r="H24" s="87">
        <f>ROUND(('Retribuciones 2021'!$L$8*$E24*$H$60)*2,2)</f>
        <v>2654.4</v>
      </c>
      <c r="I24" s="88">
        <f aca="true" t="shared" si="4" ref="I24:I57">SUM(G24:H24)</f>
        <v>5429.74</v>
      </c>
      <c r="J24" s="89">
        <f t="shared" si="1"/>
        <v>20002.420000000002</v>
      </c>
      <c r="K24" s="53">
        <f>ROUND(VLOOKUP($D24,'Retribuciones 2021'!$H$17:$I$48,2,FALSE)*12,2)</f>
        <v>7659.48</v>
      </c>
      <c r="L24" s="53">
        <f>ROUND('Retribuciones 2021'!$L$8*$E24*12,2)</f>
        <v>15926.4</v>
      </c>
      <c r="M24" s="55">
        <f>ROUND(VLOOKUP($C24,'Retribuciones 2021'!$H$7:$K$15,4,FALSE)*12,2)</f>
        <v>2254.44</v>
      </c>
      <c r="N24" s="89">
        <f t="shared" si="2"/>
        <v>25840.319999999996</v>
      </c>
      <c r="O24" s="90">
        <f t="shared" si="3"/>
        <v>45842.74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</row>
    <row r="25" spans="1:229" s="85" customFormat="1" ht="12" customHeight="1">
      <c r="A25" s="84">
        <v>133</v>
      </c>
      <c r="B25" s="91" t="s">
        <v>107</v>
      </c>
      <c r="C25" s="86" t="s">
        <v>65</v>
      </c>
      <c r="D25" s="86">
        <v>24</v>
      </c>
      <c r="E25" s="86">
        <v>60</v>
      </c>
      <c r="F25" s="53">
        <f>ROUND(VLOOKUP($C25,'Retribuciones 2021'!$H$7:$L$15,2,FALSE)*12,2)</f>
        <v>12600.72</v>
      </c>
      <c r="G25" s="53">
        <f>VLOOKUP($C25,'Retribuciones 2021'!$N$7:$Q$15,3,FALSE)*2+ROUND(VLOOKUP($D25,'Retribuciones 2021'!$H$17:$I$48,2,FALSE)*2,2)</f>
        <v>2808.24</v>
      </c>
      <c r="H25" s="87">
        <f>ROUND(('Retribuciones 2021'!$L$8*$E25*$H$60)*2,2)</f>
        <v>2654.4</v>
      </c>
      <c r="I25" s="88">
        <f t="shared" si="4"/>
        <v>5462.639999999999</v>
      </c>
      <c r="J25" s="89">
        <f t="shared" si="1"/>
        <v>18063.36</v>
      </c>
      <c r="K25" s="53">
        <f>ROUND(VLOOKUP($D25,'Retribuciones 2021'!$H$17:$I$48,2,FALSE)*12,2)</f>
        <v>7659.48</v>
      </c>
      <c r="L25" s="53">
        <f>ROUND('Retribuciones 2021'!$L$8*$E25*12,2)</f>
        <v>15926.4</v>
      </c>
      <c r="M25" s="55">
        <f>ROUND(VLOOKUP($C25,'Retribuciones 2021'!$H$7:$K$15,4,FALSE)*12,2)</f>
        <v>1842.6</v>
      </c>
      <c r="N25" s="89">
        <f t="shared" si="2"/>
        <v>25428.479999999996</v>
      </c>
      <c r="O25" s="90">
        <f t="shared" si="3"/>
        <v>43491.84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</row>
    <row r="26" spans="1:229" s="94" customFormat="1" ht="12" customHeight="1">
      <c r="A26" s="84">
        <v>164</v>
      </c>
      <c r="B26" s="91" t="s">
        <v>149</v>
      </c>
      <c r="C26" s="86" t="s">
        <v>63</v>
      </c>
      <c r="D26" s="86">
        <v>24</v>
      </c>
      <c r="E26" s="86">
        <v>50</v>
      </c>
      <c r="F26" s="53">
        <f>ROUND(VLOOKUP($C26,'Retribuciones 2021'!$H$7:$L$15,2,FALSE)*12,2)</f>
        <v>14572.68</v>
      </c>
      <c r="G26" s="53">
        <f>VLOOKUP($C26,'Retribuciones 2021'!$N$7:$Q$15,3,FALSE)*2+ROUND(VLOOKUP($D26,'Retribuciones 2021'!$H$17:$I$48,2,FALSE)*2,2)</f>
        <v>2775.34</v>
      </c>
      <c r="H26" s="87">
        <f>ROUND(('Retribuciones 2021'!$L$8*$E26*$H$60)*2,2)</f>
        <v>2212</v>
      </c>
      <c r="I26" s="88">
        <f t="shared" si="4"/>
        <v>4987.34</v>
      </c>
      <c r="J26" s="89">
        <f t="shared" si="1"/>
        <v>19560.02</v>
      </c>
      <c r="K26" s="53">
        <f>ROUND(VLOOKUP($D26,'Retribuciones 2021'!$H$17:$I$48,2,FALSE)*12,2)</f>
        <v>7659.48</v>
      </c>
      <c r="L26" s="53">
        <f>ROUND('Retribuciones 2021'!$L$8*$E26*12,2)</f>
        <v>13272</v>
      </c>
      <c r="M26" s="55">
        <f>ROUND(VLOOKUP($C26,'Retribuciones 2021'!$H$7:$K$15,4,FALSE)*12,2)</f>
        <v>2254.44</v>
      </c>
      <c r="N26" s="89">
        <f t="shared" si="2"/>
        <v>23185.92</v>
      </c>
      <c r="O26" s="90">
        <f t="shared" si="3"/>
        <v>42745.94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</row>
    <row r="27" spans="1:229" s="93" customFormat="1" ht="12" customHeight="1">
      <c r="A27" s="84">
        <v>135</v>
      </c>
      <c r="B27" s="91" t="s">
        <v>44</v>
      </c>
      <c r="C27" s="86" t="s">
        <v>63</v>
      </c>
      <c r="D27" s="86">
        <v>24</v>
      </c>
      <c r="E27" s="86">
        <v>60</v>
      </c>
      <c r="F27" s="53">
        <f>ROUND(VLOOKUP($C27,'Retribuciones 2021'!$H$7:$L$15,2,FALSE)*12,2)</f>
        <v>14572.68</v>
      </c>
      <c r="G27" s="53">
        <f>VLOOKUP($C27,'Retribuciones 2021'!$N$7:$Q$15,3,FALSE)*2+ROUND(VLOOKUP($D27,'Retribuciones 2021'!$H$17:$I$48,2,FALSE)*2,2)</f>
        <v>2775.34</v>
      </c>
      <c r="H27" s="87">
        <f>ROUND(('Retribuciones 2021'!$L$8*$E27*$H$60)*2,2)</f>
        <v>2654.4</v>
      </c>
      <c r="I27" s="88">
        <f t="shared" si="4"/>
        <v>5429.74</v>
      </c>
      <c r="J27" s="89">
        <f t="shared" si="1"/>
        <v>20002.420000000002</v>
      </c>
      <c r="K27" s="53">
        <f>ROUND(VLOOKUP($D27,'Retribuciones 2021'!$H$17:$I$48,2,FALSE)*12,2)</f>
        <v>7659.48</v>
      </c>
      <c r="L27" s="53">
        <f>ROUND('Retribuciones 2021'!$L$8*$E27*12,2)</f>
        <v>15926.4</v>
      </c>
      <c r="M27" s="55">
        <f>ROUND(VLOOKUP($C27,'Retribuciones 2021'!$H$7:$K$15,4,FALSE)*12,2)</f>
        <v>2254.44</v>
      </c>
      <c r="N27" s="89">
        <f t="shared" si="2"/>
        <v>25840.319999999996</v>
      </c>
      <c r="O27" s="90">
        <f t="shared" si="3"/>
        <v>45842.74</v>
      </c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</row>
    <row r="28" spans="1:229" s="85" customFormat="1" ht="12" customHeight="1">
      <c r="A28" s="84">
        <v>153</v>
      </c>
      <c r="B28" s="91" t="s">
        <v>56</v>
      </c>
      <c r="C28" s="86" t="s">
        <v>63</v>
      </c>
      <c r="D28" s="86">
        <f>+D10</f>
        <v>26</v>
      </c>
      <c r="E28" s="86">
        <v>65</v>
      </c>
      <c r="F28" s="53">
        <f>ROUND(VLOOKUP($C28,'Retribuciones 2021'!$H$7:$L$15,2,FALSE)*12,2)</f>
        <v>14572.68</v>
      </c>
      <c r="G28" s="53">
        <f>VLOOKUP($C28,'Retribuciones 2021'!$N$7:$Q$15,3,FALSE)*2+ROUND(VLOOKUP($D28,'Retribuciones 2021'!$H$17:$I$48,2,FALSE)*2,2)</f>
        <v>3027.84</v>
      </c>
      <c r="H28" s="87">
        <f>ROUND(('Retribuciones 2021'!$L$8*$E28*$H$60)*2,2)</f>
        <v>2875.6</v>
      </c>
      <c r="I28" s="88">
        <f t="shared" si="4"/>
        <v>5903.4400000000005</v>
      </c>
      <c r="J28" s="89">
        <f t="shared" si="1"/>
        <v>20476.12</v>
      </c>
      <c r="K28" s="53">
        <f>ROUND(VLOOKUP($D28,'Retribuciones 2021'!$H$17:$I$48,2,FALSE)*12,2)</f>
        <v>9174.48</v>
      </c>
      <c r="L28" s="53">
        <f>ROUND('Retribuciones 2021'!$L$8*$E28*12,2)</f>
        <v>17253.6</v>
      </c>
      <c r="M28" s="55">
        <f>ROUND(VLOOKUP($C28,'Retribuciones 2021'!$H$7:$K$15,4,FALSE)*12,2)</f>
        <v>2254.44</v>
      </c>
      <c r="N28" s="89">
        <f t="shared" si="2"/>
        <v>28682.519999999997</v>
      </c>
      <c r="O28" s="90">
        <f t="shared" si="3"/>
        <v>49158.64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</row>
    <row r="29" spans="1:229" s="85" customFormat="1" ht="12" customHeight="1">
      <c r="A29" s="84">
        <v>138</v>
      </c>
      <c r="B29" s="91" t="s">
        <v>45</v>
      </c>
      <c r="C29" s="86" t="s">
        <v>63</v>
      </c>
      <c r="D29" s="86">
        <v>24</v>
      </c>
      <c r="E29" s="86">
        <v>60</v>
      </c>
      <c r="F29" s="53">
        <f>ROUND(VLOOKUP($C29,'Retribuciones 2021'!$H$7:$L$15,2,FALSE)*12,2)</f>
        <v>14572.68</v>
      </c>
      <c r="G29" s="53">
        <f>VLOOKUP($C29,'Retribuciones 2021'!$N$7:$Q$15,3,FALSE)*2+ROUND(VLOOKUP($D29,'Retribuciones 2021'!$H$17:$I$48,2,FALSE)*2,2)</f>
        <v>2775.34</v>
      </c>
      <c r="H29" s="87">
        <f>ROUND(('Retribuciones 2021'!$L$8*$E29*$H$60)*2,2)</f>
        <v>2654.4</v>
      </c>
      <c r="I29" s="88">
        <f t="shared" si="4"/>
        <v>5429.74</v>
      </c>
      <c r="J29" s="89">
        <f t="shared" si="1"/>
        <v>20002.420000000002</v>
      </c>
      <c r="K29" s="53">
        <f>ROUND(VLOOKUP($D29,'Retribuciones 2021'!$H$17:$I$48,2,FALSE)*12,2)</f>
        <v>7659.48</v>
      </c>
      <c r="L29" s="53">
        <f>ROUND('Retribuciones 2021'!$L$8*$E29*12,2)</f>
        <v>15926.4</v>
      </c>
      <c r="M29" s="55">
        <f>ROUND(VLOOKUP($C29,'Retribuciones 2021'!$H$7:$K$15,4,FALSE)*12,2)</f>
        <v>2254.44</v>
      </c>
      <c r="N29" s="89">
        <f t="shared" si="2"/>
        <v>25840.319999999996</v>
      </c>
      <c r="O29" s="90">
        <f t="shared" si="3"/>
        <v>45842.74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</row>
    <row r="30" spans="1:229" s="85" customFormat="1" ht="12" customHeight="1">
      <c r="A30" s="84">
        <v>163</v>
      </c>
      <c r="B30" s="91" t="s">
        <v>85</v>
      </c>
      <c r="C30" s="86" t="s">
        <v>65</v>
      </c>
      <c r="D30" s="86">
        <v>24</v>
      </c>
      <c r="E30" s="86">
        <v>60</v>
      </c>
      <c r="F30" s="53">
        <f>ROUND(VLOOKUP($C30,'Retribuciones 2021'!$H$7:$L$15,2,FALSE)*12,2)</f>
        <v>12600.72</v>
      </c>
      <c r="G30" s="53">
        <f>VLOOKUP($C30,'Retribuciones 2021'!$N$7:$Q$15,3,FALSE)*2+ROUND(VLOOKUP($D30,'Retribuciones 2021'!$H$17:$I$48,2,FALSE)*2,2)</f>
        <v>2808.24</v>
      </c>
      <c r="H30" s="87">
        <f>ROUND(('Retribuciones 2021'!$L$8*$E30*$H$60)*2,2)</f>
        <v>2654.4</v>
      </c>
      <c r="I30" s="88">
        <f t="shared" si="4"/>
        <v>5462.639999999999</v>
      </c>
      <c r="J30" s="89">
        <f t="shared" si="1"/>
        <v>18063.36</v>
      </c>
      <c r="K30" s="53">
        <f>ROUND(VLOOKUP($D30,'Retribuciones 2021'!$H$17:$I$48,2,FALSE)*12,2)</f>
        <v>7659.48</v>
      </c>
      <c r="L30" s="53">
        <f>ROUND('Retribuciones 2021'!$L$8*$E30*12,2)</f>
        <v>15926.4</v>
      </c>
      <c r="M30" s="55">
        <f>ROUND(VLOOKUP($C30,'Retribuciones 2021'!$H$7:$K$15,4,FALSE)*12,2)</f>
        <v>1842.6</v>
      </c>
      <c r="N30" s="89">
        <f t="shared" si="2"/>
        <v>25428.479999999996</v>
      </c>
      <c r="O30" s="90">
        <f t="shared" si="3"/>
        <v>43491.84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</row>
    <row r="31" spans="1:229" s="85" customFormat="1" ht="12" customHeight="1">
      <c r="A31" s="84">
        <v>175</v>
      </c>
      <c r="B31" s="91" t="s">
        <v>126</v>
      </c>
      <c r="C31" s="86" t="s">
        <v>65</v>
      </c>
      <c r="D31" s="86">
        <v>24</v>
      </c>
      <c r="E31" s="86">
        <v>46</v>
      </c>
      <c r="F31" s="53">
        <f>ROUND(VLOOKUP($C31,'Retribuciones 2021'!$H$7:$L$15,2,FALSE)*12,2)</f>
        <v>12600.72</v>
      </c>
      <c r="G31" s="53">
        <f>VLOOKUP($C31,'Retribuciones 2021'!$N$7:$Q$15,3,FALSE)*2+ROUND(VLOOKUP($D31,'Retribuciones 2021'!$H$17:$I$48,2,FALSE)*2,2)</f>
        <v>2808.24</v>
      </c>
      <c r="H31" s="87">
        <f>ROUND(('Retribuciones 2021'!$L$8*$E31*$H$60)*2,2)</f>
        <v>2035.04</v>
      </c>
      <c r="I31" s="88">
        <f t="shared" si="4"/>
        <v>4843.28</v>
      </c>
      <c r="J31" s="89">
        <f t="shared" si="1"/>
        <v>17444</v>
      </c>
      <c r="K31" s="53">
        <f>ROUND(VLOOKUP($D31,'Retribuciones 2021'!$H$17:$I$48,2,FALSE)*12,2)</f>
        <v>7659.48</v>
      </c>
      <c r="L31" s="53">
        <f>ROUND('Retribuciones 2021'!$L$8*$E31*12,2)</f>
        <v>12210.24</v>
      </c>
      <c r="M31" s="55">
        <f>ROUND(VLOOKUP($C31,'Retribuciones 2021'!$H$7:$K$15,4,FALSE)*12,2)</f>
        <v>1842.6</v>
      </c>
      <c r="N31" s="89">
        <f t="shared" si="2"/>
        <v>21712.32</v>
      </c>
      <c r="O31" s="90">
        <f t="shared" si="3"/>
        <v>39156.32</v>
      </c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</row>
    <row r="32" spans="1:229" s="85" customFormat="1" ht="12" customHeight="1">
      <c r="A32" s="84">
        <v>141</v>
      </c>
      <c r="B32" s="91" t="s">
        <v>50</v>
      </c>
      <c r="C32" s="86" t="s">
        <v>63</v>
      </c>
      <c r="D32" s="86">
        <v>24</v>
      </c>
      <c r="E32" s="86">
        <v>50</v>
      </c>
      <c r="F32" s="53">
        <f>ROUND(VLOOKUP($C32,'Retribuciones 2021'!$H$7:$L$15,2,FALSE)*12,2)</f>
        <v>14572.68</v>
      </c>
      <c r="G32" s="53">
        <f>VLOOKUP($C32,'Retribuciones 2021'!$N$7:$Q$15,3,FALSE)*2+ROUND(VLOOKUP($D32,'Retribuciones 2021'!$H$17:$I$48,2,FALSE)*2,2)</f>
        <v>2775.34</v>
      </c>
      <c r="H32" s="87">
        <f>ROUND(('Retribuciones 2021'!$L$8*$E32*$H$60)*2,2)</f>
        <v>2212</v>
      </c>
      <c r="I32" s="88">
        <f t="shared" si="4"/>
        <v>4987.34</v>
      </c>
      <c r="J32" s="89">
        <f t="shared" si="1"/>
        <v>19560.02</v>
      </c>
      <c r="K32" s="53">
        <f>ROUND(VLOOKUP($D32,'Retribuciones 2021'!$H$17:$I$48,2,FALSE)*12,2)</f>
        <v>7659.48</v>
      </c>
      <c r="L32" s="53">
        <f>ROUND('Retribuciones 2021'!$L$8*$E32*12,2)</f>
        <v>13272</v>
      </c>
      <c r="M32" s="55">
        <f>ROUND(VLOOKUP($C32,'Retribuciones 2021'!$H$7:$K$15,4,FALSE)*12,2)</f>
        <v>2254.44</v>
      </c>
      <c r="N32" s="89">
        <f t="shared" si="2"/>
        <v>23185.92</v>
      </c>
      <c r="O32" s="90">
        <f t="shared" si="3"/>
        <v>42745.94</v>
      </c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</row>
    <row r="33" spans="1:229" s="85" customFormat="1" ht="12" customHeight="1">
      <c r="A33" s="84">
        <v>168</v>
      </c>
      <c r="B33" s="91" t="s">
        <v>101</v>
      </c>
      <c r="C33" s="86" t="s">
        <v>63</v>
      </c>
      <c r="D33" s="86">
        <v>24</v>
      </c>
      <c r="E33" s="86">
        <v>60</v>
      </c>
      <c r="F33" s="53">
        <f>ROUND(VLOOKUP($C33,'Retribuciones 2021'!$H$7:$L$15,2,FALSE)*12,2)</f>
        <v>14572.68</v>
      </c>
      <c r="G33" s="53">
        <f>VLOOKUP($C33,'Retribuciones 2021'!$N$7:$Q$15,3,FALSE)*2+ROUND(VLOOKUP($D33,'Retribuciones 2021'!$H$17:$I$48,2,FALSE)*2,2)</f>
        <v>2775.34</v>
      </c>
      <c r="H33" s="87">
        <f>ROUND(('Retribuciones 2021'!$L$8*$E33*$H$60)*2,2)</f>
        <v>2654.4</v>
      </c>
      <c r="I33" s="88">
        <f t="shared" si="4"/>
        <v>5429.74</v>
      </c>
      <c r="J33" s="89">
        <f t="shared" si="1"/>
        <v>20002.420000000002</v>
      </c>
      <c r="K33" s="53">
        <f>ROUND(VLOOKUP($D33,'Retribuciones 2021'!$H$17:$I$48,2,FALSE)*12,2)</f>
        <v>7659.48</v>
      </c>
      <c r="L33" s="53">
        <f>ROUND('Retribuciones 2021'!$L$8*$E33*12,2)</f>
        <v>15926.4</v>
      </c>
      <c r="M33" s="55">
        <f>ROUND(VLOOKUP($C33,'Retribuciones 2021'!$H$7:$K$15,4,FALSE)*12,2)</f>
        <v>2254.44</v>
      </c>
      <c r="N33" s="89">
        <f t="shared" si="2"/>
        <v>25840.319999999996</v>
      </c>
      <c r="O33" s="90">
        <f t="shared" si="3"/>
        <v>45842.74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</row>
    <row r="34" spans="1:229" s="85" customFormat="1" ht="12" customHeight="1">
      <c r="A34" s="84">
        <v>169</v>
      </c>
      <c r="B34" s="91" t="s">
        <v>106</v>
      </c>
      <c r="C34" s="86" t="s">
        <v>63</v>
      </c>
      <c r="D34" s="86">
        <v>24</v>
      </c>
      <c r="E34" s="86">
        <v>60</v>
      </c>
      <c r="F34" s="53">
        <f>ROUND(VLOOKUP($C34,'Retribuciones 2021'!$H$7:$L$15,2,FALSE)*12,2)</f>
        <v>14572.68</v>
      </c>
      <c r="G34" s="53">
        <f>VLOOKUP($C34,'Retribuciones 2021'!$N$7:$Q$15,3,FALSE)*2+ROUND(VLOOKUP($D34,'Retribuciones 2021'!$H$17:$I$48,2,FALSE)*2,2)</f>
        <v>2775.34</v>
      </c>
      <c r="H34" s="87">
        <f>ROUND(('Retribuciones 2021'!$L$8*$E34*$H$60)*2,2)</f>
        <v>2654.4</v>
      </c>
      <c r="I34" s="88">
        <f t="shared" si="4"/>
        <v>5429.74</v>
      </c>
      <c r="J34" s="89">
        <f t="shared" si="1"/>
        <v>20002.420000000002</v>
      </c>
      <c r="K34" s="53">
        <f>ROUND(VLOOKUP($D34,'Retribuciones 2021'!$H$17:$I$48,2,FALSE)*12,2)</f>
        <v>7659.48</v>
      </c>
      <c r="L34" s="53">
        <f>ROUND('Retribuciones 2021'!$L$8*$E34*12,2)</f>
        <v>15926.4</v>
      </c>
      <c r="M34" s="55">
        <f>ROUND(VLOOKUP($C34,'Retribuciones 2021'!$H$7:$K$15,4,FALSE)*12,2)</f>
        <v>2254.44</v>
      </c>
      <c r="N34" s="89">
        <f t="shared" si="2"/>
        <v>25840.319999999996</v>
      </c>
      <c r="O34" s="90">
        <f t="shared" si="3"/>
        <v>45842.74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</row>
    <row r="35" spans="1:229" s="85" customFormat="1" ht="12" customHeight="1">
      <c r="A35" s="84">
        <v>158</v>
      </c>
      <c r="B35" s="91" t="s">
        <v>68</v>
      </c>
      <c r="C35" s="86" t="s">
        <v>63</v>
      </c>
      <c r="D35" s="86">
        <v>24</v>
      </c>
      <c r="E35" s="86">
        <v>60</v>
      </c>
      <c r="F35" s="53">
        <f>ROUND(VLOOKUP($C35,'Retribuciones 2021'!$H$7:$L$15,2,FALSE)*12,2)</f>
        <v>14572.68</v>
      </c>
      <c r="G35" s="53">
        <f>VLOOKUP($C35,'Retribuciones 2021'!$N$7:$Q$15,3,FALSE)*2+ROUND(VLOOKUP($D35,'Retribuciones 2021'!$H$17:$I$48,2,FALSE)*2,2)</f>
        <v>2775.34</v>
      </c>
      <c r="H35" s="87">
        <f>ROUND(('Retribuciones 2021'!$L$8*$E35*$H$60)*2,2)</f>
        <v>2654.4</v>
      </c>
      <c r="I35" s="88">
        <f t="shared" si="4"/>
        <v>5429.74</v>
      </c>
      <c r="J35" s="89">
        <f t="shared" si="1"/>
        <v>20002.420000000002</v>
      </c>
      <c r="K35" s="53">
        <f>ROUND(VLOOKUP($D35,'Retribuciones 2021'!$H$17:$I$48,2,FALSE)*12,2)</f>
        <v>7659.48</v>
      </c>
      <c r="L35" s="53">
        <f>ROUND('Retribuciones 2021'!$L$8*$E35*12,2)</f>
        <v>15926.4</v>
      </c>
      <c r="M35" s="55">
        <f>ROUND(VLOOKUP($C35,'Retribuciones 2021'!$H$7:$K$15,4,FALSE)*12,2)</f>
        <v>2254.44</v>
      </c>
      <c r="N35" s="89">
        <f t="shared" si="2"/>
        <v>25840.319999999996</v>
      </c>
      <c r="O35" s="90">
        <f t="shared" si="3"/>
        <v>45842.74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</row>
    <row r="36" spans="1:229" s="93" customFormat="1" ht="12" customHeight="1">
      <c r="A36" s="84">
        <v>161</v>
      </c>
      <c r="B36" s="91" t="s">
        <v>108</v>
      </c>
      <c r="C36" s="86" t="s">
        <v>63</v>
      </c>
      <c r="D36" s="86">
        <v>24</v>
      </c>
      <c r="E36" s="86">
        <v>50</v>
      </c>
      <c r="F36" s="53">
        <f>ROUND(VLOOKUP($C36,'Retribuciones 2021'!$H$7:$L$15,2,FALSE)*12,2)</f>
        <v>14572.68</v>
      </c>
      <c r="G36" s="53">
        <f>VLOOKUP($C36,'Retribuciones 2021'!$N$7:$Q$15,3,FALSE)*2+ROUND(VLOOKUP($D36,'Retribuciones 2021'!$H$17:$I$48,2,FALSE)*2,2)</f>
        <v>2775.34</v>
      </c>
      <c r="H36" s="87">
        <f>ROUND(('Retribuciones 2021'!$L$8*$E36*$H$60)*2,2)</f>
        <v>2212</v>
      </c>
      <c r="I36" s="88">
        <f t="shared" si="4"/>
        <v>4987.34</v>
      </c>
      <c r="J36" s="89">
        <f t="shared" si="1"/>
        <v>19560.02</v>
      </c>
      <c r="K36" s="53">
        <f>ROUND(VLOOKUP($D36,'Retribuciones 2021'!$H$17:$I$48,2,FALSE)*12,2)</f>
        <v>7659.48</v>
      </c>
      <c r="L36" s="53">
        <f>ROUND('Retribuciones 2021'!$L$8*$E36*12,2)</f>
        <v>13272</v>
      </c>
      <c r="M36" s="55">
        <f>ROUND(VLOOKUP($C36,'Retribuciones 2021'!$H$7:$K$15,4,FALSE)*12,2)</f>
        <v>2254.44</v>
      </c>
      <c r="N36" s="89">
        <f t="shared" si="2"/>
        <v>23185.92</v>
      </c>
      <c r="O36" s="90">
        <f t="shared" si="3"/>
        <v>42745.94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</row>
    <row r="37" spans="1:229" s="94" customFormat="1" ht="12" customHeight="1">
      <c r="A37" s="84">
        <v>147</v>
      </c>
      <c r="B37" s="91" t="s">
        <v>128</v>
      </c>
      <c r="C37" s="86" t="s">
        <v>63</v>
      </c>
      <c r="D37" s="86">
        <v>24</v>
      </c>
      <c r="E37" s="86">
        <v>60</v>
      </c>
      <c r="F37" s="53">
        <f>ROUND(VLOOKUP($C37,'Retribuciones 2021'!$H$7:$L$15,2,FALSE)*12,2)</f>
        <v>14572.68</v>
      </c>
      <c r="G37" s="53">
        <f>VLOOKUP($C37,'Retribuciones 2021'!$N$7:$Q$15,3,FALSE)*2+ROUND(VLOOKUP($D37,'Retribuciones 2021'!$H$17:$I$48,2,FALSE)*2,2)</f>
        <v>2775.34</v>
      </c>
      <c r="H37" s="87">
        <f>ROUND(('Retribuciones 2021'!$L$8*$E37*$H$60)*2,2)</f>
        <v>2654.4</v>
      </c>
      <c r="I37" s="88">
        <f t="shared" si="4"/>
        <v>5429.74</v>
      </c>
      <c r="J37" s="89">
        <f aca="true" t="shared" si="5" ref="J37:J57">SUM(F37:H37)</f>
        <v>20002.420000000002</v>
      </c>
      <c r="K37" s="53">
        <f>ROUND(VLOOKUP($D37,'Retribuciones 2021'!$H$17:$I$48,2,FALSE)*12,2)</f>
        <v>7659.48</v>
      </c>
      <c r="L37" s="53">
        <f>ROUND('Retribuciones 2021'!$L$8*$E37*12,2)</f>
        <v>15926.4</v>
      </c>
      <c r="M37" s="55">
        <f>ROUND(VLOOKUP($C37,'Retribuciones 2021'!$H$7:$K$15,4,FALSE)*12,2)</f>
        <v>2254.44</v>
      </c>
      <c r="N37" s="89">
        <f t="shared" si="2"/>
        <v>25840.319999999996</v>
      </c>
      <c r="O37" s="90">
        <f t="shared" si="3"/>
        <v>45842.74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</row>
    <row r="38" spans="1:229" s="93" customFormat="1" ht="12" customHeight="1">
      <c r="A38" s="84">
        <v>149</v>
      </c>
      <c r="B38" s="91" t="s">
        <v>86</v>
      </c>
      <c r="C38" s="86" t="s">
        <v>63</v>
      </c>
      <c r="D38" s="86">
        <v>24</v>
      </c>
      <c r="E38" s="86">
        <v>50</v>
      </c>
      <c r="F38" s="53">
        <f>ROUND(VLOOKUP($C38,'Retribuciones 2021'!$H$7:$L$15,2,FALSE)*12,2)</f>
        <v>14572.68</v>
      </c>
      <c r="G38" s="53">
        <f>VLOOKUP($C38,'Retribuciones 2021'!$N$7:$Q$15,3,FALSE)*2+ROUND(VLOOKUP($D38,'Retribuciones 2021'!$H$17:$I$48,2,FALSE)*2,2)</f>
        <v>2775.34</v>
      </c>
      <c r="H38" s="87">
        <f>ROUND(('Retribuciones 2021'!$L$8*$E38*$H$60)*2,2)</f>
        <v>2212</v>
      </c>
      <c r="I38" s="88">
        <f t="shared" si="4"/>
        <v>4987.34</v>
      </c>
      <c r="J38" s="89">
        <f t="shared" si="5"/>
        <v>19560.02</v>
      </c>
      <c r="K38" s="53">
        <f>ROUND(VLOOKUP($D38,'Retribuciones 2021'!$H$17:$I$48,2,FALSE)*12,2)</f>
        <v>7659.48</v>
      </c>
      <c r="L38" s="53">
        <f>ROUND('Retribuciones 2021'!$L$8*$E38*12,2)</f>
        <v>13272</v>
      </c>
      <c r="M38" s="55">
        <f>ROUND(VLOOKUP($C38,'Retribuciones 2021'!$H$7:$K$15,4,FALSE)*12,2)</f>
        <v>2254.44</v>
      </c>
      <c r="N38" s="89">
        <f t="shared" si="2"/>
        <v>23185.92</v>
      </c>
      <c r="O38" s="90">
        <f t="shared" si="3"/>
        <v>42745.94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</row>
    <row r="39" spans="1:229" s="94" customFormat="1" ht="12" customHeight="1">
      <c r="A39" s="84">
        <v>150</v>
      </c>
      <c r="B39" s="91" t="s">
        <v>119</v>
      </c>
      <c r="C39" s="86" t="s">
        <v>65</v>
      </c>
      <c r="D39" s="86">
        <v>24</v>
      </c>
      <c r="E39" s="86">
        <v>53</v>
      </c>
      <c r="F39" s="53">
        <f>ROUND(VLOOKUP($C39,'Retribuciones 2021'!$H$7:$L$15,2,FALSE)*12,2)</f>
        <v>12600.72</v>
      </c>
      <c r="G39" s="53">
        <f>VLOOKUP($C39,'Retribuciones 2021'!$N$7:$Q$15,3,FALSE)*2+ROUND(VLOOKUP($D39,'Retribuciones 2021'!$H$17:$I$48,2,FALSE)*2,2)</f>
        <v>2808.24</v>
      </c>
      <c r="H39" s="87">
        <f>ROUND(('Retribuciones 2021'!$L$8*$E39*$H$60)*2,2)</f>
        <v>2344.72</v>
      </c>
      <c r="I39" s="88">
        <f t="shared" si="4"/>
        <v>5152.959999999999</v>
      </c>
      <c r="J39" s="89">
        <f t="shared" si="5"/>
        <v>17753.68</v>
      </c>
      <c r="K39" s="53">
        <f>ROUND(VLOOKUP($D39,'Retribuciones 2021'!$H$17:$I$48,2,FALSE)*12,2)</f>
        <v>7659.48</v>
      </c>
      <c r="L39" s="53">
        <f>ROUND('Retribuciones 2021'!$L$8*$E39*12,2)</f>
        <v>14068.32</v>
      </c>
      <c r="M39" s="55">
        <f>ROUND(VLOOKUP($C39,'Retribuciones 2021'!$H$7:$K$15,4,FALSE)*12,2)</f>
        <v>1842.6</v>
      </c>
      <c r="N39" s="89">
        <f t="shared" si="2"/>
        <v>23570.399999999998</v>
      </c>
      <c r="O39" s="90">
        <f t="shared" si="3"/>
        <v>41324.08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</row>
    <row r="40" spans="1:229" s="85" customFormat="1" ht="12" customHeight="1">
      <c r="A40" s="84">
        <v>151</v>
      </c>
      <c r="B40" s="91" t="s">
        <v>150</v>
      </c>
      <c r="C40" s="86" t="s">
        <v>65</v>
      </c>
      <c r="D40" s="86">
        <v>24</v>
      </c>
      <c r="E40" s="86">
        <v>53</v>
      </c>
      <c r="F40" s="53">
        <f>ROUND(VLOOKUP($C40,'Retribuciones 2021'!$H$7:$L$15,2,FALSE)*12,2)</f>
        <v>12600.72</v>
      </c>
      <c r="G40" s="53">
        <f>VLOOKUP($C40,'Retribuciones 2021'!$N$7:$Q$15,3,FALSE)*2+ROUND(VLOOKUP($D40,'Retribuciones 2021'!$H$17:$I$48,2,FALSE)*2,2)</f>
        <v>2808.24</v>
      </c>
      <c r="H40" s="87">
        <f>ROUND(('Retribuciones 2021'!$L$8*$E40*$H$60)*2,2)</f>
        <v>2344.72</v>
      </c>
      <c r="I40" s="88">
        <f t="shared" si="4"/>
        <v>5152.959999999999</v>
      </c>
      <c r="J40" s="89">
        <f t="shared" si="5"/>
        <v>17753.68</v>
      </c>
      <c r="K40" s="53">
        <f>ROUND(VLOOKUP($D40,'Retribuciones 2021'!$H$17:$I$48,2,FALSE)*12,2)</f>
        <v>7659.48</v>
      </c>
      <c r="L40" s="53">
        <f>ROUND('Retribuciones 2021'!$L$8*$E40*12,2)</f>
        <v>14068.32</v>
      </c>
      <c r="M40" s="55">
        <f>ROUND(VLOOKUP($C40,'Retribuciones 2021'!$H$7:$K$15,4,FALSE)*12,2)</f>
        <v>1842.6</v>
      </c>
      <c r="N40" s="89">
        <f t="shared" si="2"/>
        <v>23570.399999999998</v>
      </c>
      <c r="O40" s="90">
        <f t="shared" si="3"/>
        <v>41324.08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</row>
    <row r="41" spans="1:229" s="85" customFormat="1" ht="12" customHeight="1">
      <c r="A41" s="84">
        <v>152</v>
      </c>
      <c r="B41" s="91" t="s">
        <v>151</v>
      </c>
      <c r="C41" s="86" t="s">
        <v>65</v>
      </c>
      <c r="D41" s="86">
        <v>24</v>
      </c>
      <c r="E41" s="86">
        <v>53</v>
      </c>
      <c r="F41" s="53">
        <f>ROUND(VLOOKUP($C41,'Retribuciones 2021'!$H$7:$L$15,2,FALSE)*12,2)</f>
        <v>12600.72</v>
      </c>
      <c r="G41" s="53">
        <f>VLOOKUP($C41,'Retribuciones 2021'!$N$7:$Q$15,3,FALSE)*2+ROUND(VLOOKUP($D41,'Retribuciones 2021'!$H$17:$I$48,2,FALSE)*2,2)</f>
        <v>2808.24</v>
      </c>
      <c r="H41" s="87">
        <f>ROUND(('Retribuciones 2021'!$L$8*$E41*$H$60)*2,2)</f>
        <v>2344.72</v>
      </c>
      <c r="I41" s="88">
        <f t="shared" si="4"/>
        <v>5152.959999999999</v>
      </c>
      <c r="J41" s="89">
        <f t="shared" si="5"/>
        <v>17753.68</v>
      </c>
      <c r="K41" s="53">
        <f>ROUND(VLOOKUP($D41,'Retribuciones 2021'!$H$17:$I$48,2,FALSE)*12,2)</f>
        <v>7659.48</v>
      </c>
      <c r="L41" s="53">
        <f>ROUND('Retribuciones 2021'!$L$8*$E41*12,2)</f>
        <v>14068.32</v>
      </c>
      <c r="M41" s="55">
        <f>ROUND(VLOOKUP($C41,'Retribuciones 2021'!$H$7:$K$15,4,FALSE)*12,2)</f>
        <v>1842.6</v>
      </c>
      <c r="N41" s="89">
        <f t="shared" si="2"/>
        <v>23570.399999999998</v>
      </c>
      <c r="O41" s="90">
        <f t="shared" si="3"/>
        <v>41324.08</v>
      </c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</row>
    <row r="42" spans="1:229" s="85" customFormat="1" ht="12" customHeight="1">
      <c r="A42" s="84">
        <v>155</v>
      </c>
      <c r="B42" s="91" t="s">
        <v>104</v>
      </c>
      <c r="C42" s="86" t="s">
        <v>63</v>
      </c>
      <c r="D42" s="86">
        <v>24</v>
      </c>
      <c r="E42" s="86">
        <v>50</v>
      </c>
      <c r="F42" s="53">
        <f>ROUND(VLOOKUP($C42,'Retribuciones 2021'!$H$7:$L$15,2,FALSE)*12,2)</f>
        <v>14572.68</v>
      </c>
      <c r="G42" s="53">
        <f>VLOOKUP($C42,'Retribuciones 2021'!$N$7:$Q$15,3,FALSE)*2+ROUND(VLOOKUP($D42,'Retribuciones 2021'!$H$17:$I$48,2,FALSE)*2,2)</f>
        <v>2775.34</v>
      </c>
      <c r="H42" s="87">
        <f>ROUND(('Retribuciones 2021'!$L$8*$E42*$H$60)*2,2)</f>
        <v>2212</v>
      </c>
      <c r="I42" s="88">
        <f t="shared" si="4"/>
        <v>4987.34</v>
      </c>
      <c r="J42" s="89">
        <f t="shared" si="5"/>
        <v>19560.02</v>
      </c>
      <c r="K42" s="53">
        <f>ROUND(VLOOKUP($D42,'Retribuciones 2021'!$H$17:$I$48,2,FALSE)*12,2)</f>
        <v>7659.48</v>
      </c>
      <c r="L42" s="53">
        <f>ROUND('Retribuciones 2021'!$L$8*$E42*12,2)</f>
        <v>13272</v>
      </c>
      <c r="M42" s="55">
        <f>ROUND(VLOOKUP($C42,'Retribuciones 2021'!$H$7:$K$15,4,FALSE)*12,2)</f>
        <v>2254.44</v>
      </c>
      <c r="N42" s="89">
        <f t="shared" si="2"/>
        <v>23185.92</v>
      </c>
      <c r="O42" s="90">
        <f t="shared" si="3"/>
        <v>42745.94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</row>
    <row r="43" spans="1:229" s="85" customFormat="1" ht="12" customHeight="1">
      <c r="A43" s="84">
        <v>170</v>
      </c>
      <c r="B43" s="91" t="s">
        <v>152</v>
      </c>
      <c r="C43" s="86" t="s">
        <v>63</v>
      </c>
      <c r="D43" s="86">
        <v>26</v>
      </c>
      <c r="E43" s="86">
        <v>65</v>
      </c>
      <c r="F43" s="53">
        <f>ROUND(VLOOKUP($C43,'Retribuciones 2021'!$H$7:$L$15,2,FALSE)*12,2)</f>
        <v>14572.68</v>
      </c>
      <c r="G43" s="53">
        <f>VLOOKUP($C43,'Retribuciones 2021'!$N$7:$Q$15,3,FALSE)*2+ROUND(VLOOKUP($D43,'Retribuciones 2021'!$H$17:$I$48,2,FALSE)*2,2)</f>
        <v>3027.84</v>
      </c>
      <c r="H43" s="87">
        <f>ROUND(('Retribuciones 2021'!$L$8*$E43*$H$60)*2,2)</f>
        <v>2875.6</v>
      </c>
      <c r="I43" s="88">
        <f t="shared" si="4"/>
        <v>5903.4400000000005</v>
      </c>
      <c r="J43" s="89">
        <f t="shared" si="5"/>
        <v>20476.12</v>
      </c>
      <c r="K43" s="53">
        <f>ROUND(VLOOKUP($D43,'Retribuciones 2021'!$H$17:$I$48,2,FALSE)*12,2)</f>
        <v>9174.48</v>
      </c>
      <c r="L43" s="53">
        <f>ROUND('Retribuciones 2021'!$L$8*$E43*12,2)</f>
        <v>17253.6</v>
      </c>
      <c r="M43" s="55">
        <f>ROUND(VLOOKUP($C43,'Retribuciones 2021'!$H$7:$K$15,4,FALSE)*12,2)</f>
        <v>2254.44</v>
      </c>
      <c r="N43" s="89">
        <f t="shared" si="2"/>
        <v>28682.519999999997</v>
      </c>
      <c r="O43" s="90">
        <f t="shared" si="3"/>
        <v>49158.64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</row>
    <row r="44" spans="1:229" s="85" customFormat="1" ht="12" customHeight="1">
      <c r="A44" s="84">
        <v>165</v>
      </c>
      <c r="B44" s="91" t="s">
        <v>83</v>
      </c>
      <c r="C44" s="86" t="s">
        <v>63</v>
      </c>
      <c r="D44" s="86">
        <v>26</v>
      </c>
      <c r="E44" s="86">
        <v>65</v>
      </c>
      <c r="F44" s="53">
        <f>ROUND(VLOOKUP($C44,'Retribuciones 2021'!$H$7:$L$15,2,FALSE)*12,2)</f>
        <v>14572.68</v>
      </c>
      <c r="G44" s="53">
        <f>VLOOKUP($C44,'Retribuciones 2021'!$N$7:$Q$15,3,FALSE)*2+ROUND(VLOOKUP($D44,'Retribuciones 2021'!$H$17:$I$48,2,FALSE)*2,2)</f>
        <v>3027.84</v>
      </c>
      <c r="H44" s="87">
        <f>ROUND(('Retribuciones 2021'!$L$8*$E44*$H$60)*2,2)</f>
        <v>2875.6</v>
      </c>
      <c r="I44" s="88">
        <f t="shared" si="4"/>
        <v>5903.4400000000005</v>
      </c>
      <c r="J44" s="89">
        <f t="shared" si="5"/>
        <v>20476.12</v>
      </c>
      <c r="K44" s="53">
        <f>ROUND(VLOOKUP($D44,'Retribuciones 2021'!$H$17:$I$48,2,FALSE)*12,2)</f>
        <v>9174.48</v>
      </c>
      <c r="L44" s="53">
        <f>ROUND('Retribuciones 2021'!$L$8*$E44*12,2)</f>
        <v>17253.6</v>
      </c>
      <c r="M44" s="55">
        <f>ROUND(VLOOKUP($C44,'Retribuciones 2021'!$H$7:$K$15,4,FALSE)*12,2)</f>
        <v>2254.44</v>
      </c>
      <c r="N44" s="89">
        <f t="shared" si="2"/>
        <v>28682.519999999997</v>
      </c>
      <c r="O44" s="90">
        <f t="shared" si="3"/>
        <v>49158.64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</row>
    <row r="45" spans="1:229" s="85" customFormat="1" ht="12" customHeight="1">
      <c r="A45" s="84">
        <v>166</v>
      </c>
      <c r="B45" s="91" t="s">
        <v>153</v>
      </c>
      <c r="C45" s="86" t="s">
        <v>65</v>
      </c>
      <c r="D45" s="86">
        <v>24</v>
      </c>
      <c r="E45" s="86">
        <v>53</v>
      </c>
      <c r="F45" s="53">
        <f>ROUND(VLOOKUP($C45,'Retribuciones 2021'!$H$7:$L$15,2,FALSE)*12,2)</f>
        <v>12600.72</v>
      </c>
      <c r="G45" s="53">
        <f>VLOOKUP($C45,'Retribuciones 2021'!$N$7:$Q$15,3,FALSE)*2+ROUND(VLOOKUP($D45,'Retribuciones 2021'!$H$17:$I$48,2,FALSE)*2,2)</f>
        <v>2808.24</v>
      </c>
      <c r="H45" s="87">
        <f>ROUND(('Retribuciones 2021'!$L$8*$E45*$H$60)*2,2)</f>
        <v>2344.72</v>
      </c>
      <c r="I45" s="88">
        <f t="shared" si="4"/>
        <v>5152.959999999999</v>
      </c>
      <c r="J45" s="89">
        <f t="shared" si="5"/>
        <v>17753.68</v>
      </c>
      <c r="K45" s="53">
        <f>ROUND(VLOOKUP($D45,'Retribuciones 2021'!$H$17:$I$48,2,FALSE)*12,2)</f>
        <v>7659.48</v>
      </c>
      <c r="L45" s="53">
        <f>ROUND('Retribuciones 2021'!$L$8*$E45*12,2)</f>
        <v>14068.32</v>
      </c>
      <c r="M45" s="55">
        <f>ROUND(VLOOKUP($C45,'Retribuciones 2021'!$H$7:$K$15,4,FALSE)*12,2)</f>
        <v>1842.6</v>
      </c>
      <c r="N45" s="89">
        <f t="shared" si="2"/>
        <v>23570.399999999998</v>
      </c>
      <c r="O45" s="90">
        <f t="shared" si="3"/>
        <v>41324.08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</row>
    <row r="46" spans="1:229" s="93" customFormat="1" ht="12" customHeight="1">
      <c r="A46" s="84">
        <v>174</v>
      </c>
      <c r="B46" s="91" t="s">
        <v>154</v>
      </c>
      <c r="C46" s="86" t="s">
        <v>63</v>
      </c>
      <c r="D46" s="86">
        <v>24</v>
      </c>
      <c r="E46" s="86">
        <v>53</v>
      </c>
      <c r="F46" s="53">
        <f>ROUND(VLOOKUP($C46,'Retribuciones 2021'!$H$7:$L$15,2,FALSE)*12,2)</f>
        <v>14572.68</v>
      </c>
      <c r="G46" s="53">
        <f>VLOOKUP($C46,'Retribuciones 2021'!$N$7:$Q$15,3,FALSE)*2+ROUND(VLOOKUP($D46,'Retribuciones 2021'!$H$17:$I$48,2,FALSE)*2,2)</f>
        <v>2775.34</v>
      </c>
      <c r="H46" s="87">
        <f>ROUND(('Retribuciones 2021'!$L$8*$E46*$H$60)*2,2)</f>
        <v>2344.72</v>
      </c>
      <c r="I46" s="88">
        <f t="shared" si="4"/>
        <v>5120.0599999999995</v>
      </c>
      <c r="J46" s="89">
        <f t="shared" si="5"/>
        <v>19692.74</v>
      </c>
      <c r="K46" s="53">
        <f>ROUND(VLOOKUP($D46,'Retribuciones 2021'!$H$17:$I$48,2,FALSE)*12,2)</f>
        <v>7659.48</v>
      </c>
      <c r="L46" s="53">
        <f>ROUND('Retribuciones 2021'!$L$8*$E46*12,2)</f>
        <v>14068.32</v>
      </c>
      <c r="M46" s="55">
        <f>ROUND(VLOOKUP($C46,'Retribuciones 2021'!$H$7:$K$15,4,FALSE)*12,2)</f>
        <v>2254.44</v>
      </c>
      <c r="N46" s="89">
        <f t="shared" si="2"/>
        <v>23982.239999999998</v>
      </c>
      <c r="O46" s="90">
        <f t="shared" si="3"/>
        <v>43674.979999999996</v>
      </c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</row>
    <row r="47" spans="1:229" s="93" customFormat="1" ht="12" customHeight="1">
      <c r="A47" s="84">
        <v>171</v>
      </c>
      <c r="B47" s="91" t="s">
        <v>102</v>
      </c>
      <c r="C47" s="86" t="s">
        <v>63</v>
      </c>
      <c r="D47" s="86">
        <v>28</v>
      </c>
      <c r="E47" s="86">
        <v>86</v>
      </c>
      <c r="F47" s="53">
        <f>ROUND(VLOOKUP($C47,'Retribuciones 2021'!$H$7:$L$15,2,FALSE)*12,2)</f>
        <v>14572.68</v>
      </c>
      <c r="G47" s="53">
        <f>VLOOKUP($C47,'Retribuciones 2021'!$N$7:$Q$15,3,FALSE)*2+ROUND(VLOOKUP($D47,'Retribuciones 2021'!$H$17:$I$48,2,FALSE)*2,2)</f>
        <v>3321.7200000000003</v>
      </c>
      <c r="H47" s="87">
        <f>ROUND(('Retribuciones 2021'!$L$8*$E47*$H$60)*2,2)</f>
        <v>3804.64</v>
      </c>
      <c r="I47" s="88">
        <f t="shared" si="4"/>
        <v>7126.360000000001</v>
      </c>
      <c r="J47" s="89">
        <f t="shared" si="5"/>
        <v>21699.04</v>
      </c>
      <c r="K47" s="53">
        <f>ROUND(VLOOKUP($D47,'Retribuciones 2021'!$H$17:$I$48,2,FALSE)*12,2)</f>
        <v>10937.76</v>
      </c>
      <c r="L47" s="53">
        <f>ROUND('Retribuciones 2021'!$L$8*$E47*12,2)</f>
        <v>22827.84</v>
      </c>
      <c r="M47" s="55">
        <f>ROUND(VLOOKUP($C47,'Retribuciones 2021'!$H$7:$K$15,4,FALSE)*12,2)</f>
        <v>2254.44</v>
      </c>
      <c r="N47" s="89">
        <f t="shared" si="2"/>
        <v>36020.04</v>
      </c>
      <c r="O47" s="90">
        <f t="shared" si="3"/>
        <v>57719.08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</row>
    <row r="48" spans="1:229" s="93" customFormat="1" ht="12" customHeight="1">
      <c r="A48" s="84">
        <v>172</v>
      </c>
      <c r="B48" s="91" t="s">
        <v>103</v>
      </c>
      <c r="C48" s="86" t="s">
        <v>65</v>
      </c>
      <c r="D48" s="86">
        <v>24</v>
      </c>
      <c r="E48" s="86">
        <v>46</v>
      </c>
      <c r="F48" s="53">
        <f>ROUND(VLOOKUP($C48,'Retribuciones 2021'!$H$7:$L$15,2,FALSE)*12,2)</f>
        <v>12600.72</v>
      </c>
      <c r="G48" s="53">
        <f>VLOOKUP($C48,'Retribuciones 2021'!$N$7:$Q$15,3,FALSE)*2+ROUND(VLOOKUP($D48,'Retribuciones 2021'!$H$17:$I$48,2,FALSE)*2,2)</f>
        <v>2808.24</v>
      </c>
      <c r="H48" s="87">
        <f>ROUND(('Retribuciones 2021'!$L$8*$E48*$H$60)*2,2)</f>
        <v>2035.04</v>
      </c>
      <c r="I48" s="88">
        <f t="shared" si="4"/>
        <v>4843.28</v>
      </c>
      <c r="J48" s="89">
        <f t="shared" si="5"/>
        <v>17444</v>
      </c>
      <c r="K48" s="53">
        <f>ROUND(VLOOKUP($D48,'Retribuciones 2021'!$H$17:$I$48,2,FALSE)*12,2)</f>
        <v>7659.48</v>
      </c>
      <c r="L48" s="53">
        <f>ROUND('Retribuciones 2021'!$L$8*$E48*12,2)</f>
        <v>12210.24</v>
      </c>
      <c r="M48" s="55">
        <f>ROUND(VLOOKUP($C48,'Retribuciones 2021'!$H$7:$K$15,4,FALSE)*12,2)</f>
        <v>1842.6</v>
      </c>
      <c r="N48" s="89">
        <f t="shared" si="2"/>
        <v>21712.32</v>
      </c>
      <c r="O48" s="90">
        <f t="shared" si="3"/>
        <v>39156.32</v>
      </c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</row>
    <row r="49" spans="1:229" s="93" customFormat="1" ht="12" customHeight="1">
      <c r="A49" s="84">
        <v>176</v>
      </c>
      <c r="B49" s="91" t="s">
        <v>110</v>
      </c>
      <c r="C49" s="86" t="s">
        <v>65</v>
      </c>
      <c r="D49" s="86">
        <v>24</v>
      </c>
      <c r="E49" s="86">
        <v>46</v>
      </c>
      <c r="F49" s="53">
        <f>ROUND(VLOOKUP($C49,'Retribuciones 2021'!$H$7:$L$15,2,FALSE)*12,2)</f>
        <v>12600.72</v>
      </c>
      <c r="G49" s="53">
        <f>VLOOKUP($C49,'Retribuciones 2021'!$N$7:$Q$15,3,FALSE)*2+ROUND(VLOOKUP($D49,'Retribuciones 2021'!$H$17:$I$48,2,FALSE)*2,2)</f>
        <v>2808.24</v>
      </c>
      <c r="H49" s="87">
        <f>ROUND(('Retribuciones 2021'!$L$8*$E49*$H$60)*2,2)</f>
        <v>2035.04</v>
      </c>
      <c r="I49" s="88">
        <f t="shared" si="4"/>
        <v>4843.28</v>
      </c>
      <c r="J49" s="89">
        <f t="shared" si="5"/>
        <v>17444</v>
      </c>
      <c r="K49" s="53">
        <f>ROUND(VLOOKUP($D49,'Retribuciones 2021'!$H$17:$I$48,2,FALSE)*12,2)</f>
        <v>7659.48</v>
      </c>
      <c r="L49" s="53">
        <f>ROUND('Retribuciones 2021'!$L$8*$E49*12,2)</f>
        <v>12210.24</v>
      </c>
      <c r="M49" s="55">
        <f>ROUND(VLOOKUP($C49,'Retribuciones 2021'!$H$7:$K$15,4,FALSE)*12,2)</f>
        <v>1842.6</v>
      </c>
      <c r="N49" s="89">
        <f t="shared" si="2"/>
        <v>21712.32</v>
      </c>
      <c r="O49" s="90">
        <f t="shared" si="3"/>
        <v>39156.32</v>
      </c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</row>
    <row r="50" spans="1:229" s="93" customFormat="1" ht="12" customHeight="1">
      <c r="A50" s="84">
        <v>177</v>
      </c>
      <c r="B50" s="91" t="s">
        <v>111</v>
      </c>
      <c r="C50" s="86" t="s">
        <v>65</v>
      </c>
      <c r="D50" s="86">
        <v>24</v>
      </c>
      <c r="E50" s="86">
        <v>46</v>
      </c>
      <c r="F50" s="53">
        <f>ROUND(VLOOKUP($C50,'Retribuciones 2021'!$H$7:$L$15,2,FALSE)*12,2)</f>
        <v>12600.72</v>
      </c>
      <c r="G50" s="53">
        <f>VLOOKUP($C50,'Retribuciones 2021'!$N$7:$Q$15,3,FALSE)*2+ROUND(VLOOKUP($D50,'Retribuciones 2021'!$H$17:$I$48,2,FALSE)*2,2)</f>
        <v>2808.24</v>
      </c>
      <c r="H50" s="87">
        <f>ROUND(('Retribuciones 2021'!$L$8*$E50*$H$60)*2,2)</f>
        <v>2035.04</v>
      </c>
      <c r="I50" s="88">
        <f t="shared" si="4"/>
        <v>4843.28</v>
      </c>
      <c r="J50" s="89">
        <f t="shared" si="5"/>
        <v>17444</v>
      </c>
      <c r="K50" s="53">
        <f>ROUND(VLOOKUP($D50,'Retribuciones 2021'!$H$17:$I$48,2,FALSE)*12,2)</f>
        <v>7659.48</v>
      </c>
      <c r="L50" s="53">
        <f>ROUND('Retribuciones 2021'!$L$8*$E50*12,2)</f>
        <v>12210.24</v>
      </c>
      <c r="M50" s="55">
        <f>ROUND(VLOOKUP($C50,'Retribuciones 2021'!$H$7:$K$15,4,FALSE)*12,2)</f>
        <v>1842.6</v>
      </c>
      <c r="N50" s="89">
        <f t="shared" si="2"/>
        <v>21712.32</v>
      </c>
      <c r="O50" s="90">
        <f t="shared" si="3"/>
        <v>39156.32</v>
      </c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</row>
    <row r="51" spans="1:229" s="93" customFormat="1" ht="12" customHeight="1">
      <c r="A51" s="84">
        <v>173</v>
      </c>
      <c r="B51" s="91" t="s">
        <v>113</v>
      </c>
      <c r="C51" s="86" t="s">
        <v>63</v>
      </c>
      <c r="D51" s="86">
        <v>24</v>
      </c>
      <c r="E51" s="86">
        <v>46</v>
      </c>
      <c r="F51" s="53">
        <f>ROUND(VLOOKUP($C51,'Retribuciones 2021'!$H$7:$L$15,2,FALSE)*12,2)</f>
        <v>14572.68</v>
      </c>
      <c r="G51" s="53">
        <f>VLOOKUP($C51,'Retribuciones 2021'!$N$7:$Q$15,3,FALSE)*2+ROUND(VLOOKUP($D51,'Retribuciones 2021'!$H$17:$I$48,2,FALSE)*2,2)</f>
        <v>2775.34</v>
      </c>
      <c r="H51" s="87">
        <f>ROUND(('Retribuciones 2021'!$L$8*$E51*$H$60)*2,2)</f>
        <v>2035.04</v>
      </c>
      <c r="I51" s="88">
        <f t="shared" si="4"/>
        <v>4810.38</v>
      </c>
      <c r="J51" s="89">
        <f t="shared" si="5"/>
        <v>19383.06</v>
      </c>
      <c r="K51" s="53">
        <f>ROUND(VLOOKUP($D51,'Retribuciones 2021'!$H$17:$I$48,2,FALSE)*12,2)</f>
        <v>7659.48</v>
      </c>
      <c r="L51" s="53">
        <f>ROUND('Retribuciones 2021'!$L$8*$E51*12,2)</f>
        <v>12210.24</v>
      </c>
      <c r="M51" s="55">
        <f>ROUND(VLOOKUP($C51,'Retribuciones 2021'!$H$7:$K$15,4,FALSE)*12,2)</f>
        <v>2254.44</v>
      </c>
      <c r="N51" s="89">
        <f t="shared" si="2"/>
        <v>22124.16</v>
      </c>
      <c r="O51" s="90">
        <f t="shared" si="3"/>
        <v>41507.22</v>
      </c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</row>
    <row r="52" spans="1:229" s="93" customFormat="1" ht="12" customHeight="1">
      <c r="A52" s="84">
        <v>178</v>
      </c>
      <c r="B52" s="91" t="s">
        <v>155</v>
      </c>
      <c r="C52" s="86" t="s">
        <v>65</v>
      </c>
      <c r="D52" s="86">
        <v>24</v>
      </c>
      <c r="E52" s="86">
        <v>46</v>
      </c>
      <c r="F52" s="53">
        <f>ROUND(VLOOKUP($C52,'Retribuciones 2021'!$H$7:$L$15,2,FALSE)*12,2)</f>
        <v>12600.72</v>
      </c>
      <c r="G52" s="53">
        <f>VLOOKUP($C52,'Retribuciones 2021'!$N$7:$Q$15,3,FALSE)*2+ROUND(VLOOKUP($D52,'Retribuciones 2021'!$H$17:$I$48,2,FALSE)*2,2)</f>
        <v>2808.24</v>
      </c>
      <c r="H52" s="87">
        <f>ROUND(('Retribuciones 2021'!$L$8*$E52*$H$60)*2,2)</f>
        <v>2035.04</v>
      </c>
      <c r="I52" s="88">
        <f t="shared" si="4"/>
        <v>4843.28</v>
      </c>
      <c r="J52" s="89">
        <f t="shared" si="5"/>
        <v>17444</v>
      </c>
      <c r="K52" s="53">
        <f>ROUND(VLOOKUP($D52,'Retribuciones 2021'!$H$17:$I$48,2,FALSE)*12,2)</f>
        <v>7659.48</v>
      </c>
      <c r="L52" s="53">
        <f>ROUND('Retribuciones 2021'!$L$8*$E52*12,2)</f>
        <v>12210.24</v>
      </c>
      <c r="M52" s="55">
        <f>ROUND(VLOOKUP($C52,'Retribuciones 2021'!$H$7:$K$15,4,FALSE)*12,2)</f>
        <v>1842.6</v>
      </c>
      <c r="N52" s="89">
        <f t="shared" si="2"/>
        <v>21712.32</v>
      </c>
      <c r="O52" s="90">
        <f t="shared" si="3"/>
        <v>39156.32</v>
      </c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</row>
    <row r="53" spans="1:229" s="93" customFormat="1" ht="12" customHeight="1">
      <c r="A53" s="84">
        <v>179</v>
      </c>
      <c r="B53" s="91" t="s">
        <v>122</v>
      </c>
      <c r="C53" s="86" t="s">
        <v>65</v>
      </c>
      <c r="D53" s="86">
        <v>24</v>
      </c>
      <c r="E53" s="86">
        <v>46</v>
      </c>
      <c r="F53" s="53">
        <f>ROUND(VLOOKUP($C53,'Retribuciones 2021'!$H$7:$L$15,2,FALSE)*12,2)</f>
        <v>12600.72</v>
      </c>
      <c r="G53" s="53">
        <f>VLOOKUP($C53,'Retribuciones 2021'!$N$7:$Q$15,3,FALSE)*2+ROUND(VLOOKUP($D53,'Retribuciones 2021'!$H$17:$I$48,2,FALSE)*2,2)</f>
        <v>2808.24</v>
      </c>
      <c r="H53" s="87">
        <f>ROUND(('Retribuciones 2021'!$L$8*$E53*$H$60)*2,2)</f>
        <v>2035.04</v>
      </c>
      <c r="I53" s="88">
        <f t="shared" si="4"/>
        <v>4843.28</v>
      </c>
      <c r="J53" s="89">
        <f t="shared" si="5"/>
        <v>17444</v>
      </c>
      <c r="K53" s="53">
        <f>ROUND(VLOOKUP($D53,'Retribuciones 2021'!$H$17:$I$48,2,FALSE)*12,2)</f>
        <v>7659.48</v>
      </c>
      <c r="L53" s="53">
        <f>ROUND('Retribuciones 2021'!$L$8*$E53*12,2)</f>
        <v>12210.24</v>
      </c>
      <c r="M53" s="55">
        <f>ROUND(VLOOKUP($C53,'Retribuciones 2021'!$H$7:$K$15,4,FALSE)*12,2)</f>
        <v>1842.6</v>
      </c>
      <c r="N53" s="89">
        <f t="shared" si="2"/>
        <v>21712.32</v>
      </c>
      <c r="O53" s="90">
        <f t="shared" si="3"/>
        <v>39156.32</v>
      </c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</row>
    <row r="54" spans="1:229" s="93" customFormat="1" ht="12" customHeight="1">
      <c r="A54" s="84">
        <v>180</v>
      </c>
      <c r="B54" s="91" t="s">
        <v>123</v>
      </c>
      <c r="C54" s="86" t="s">
        <v>63</v>
      </c>
      <c r="D54" s="86">
        <v>24</v>
      </c>
      <c r="E54" s="86">
        <v>50</v>
      </c>
      <c r="F54" s="53">
        <f>ROUND(VLOOKUP($C54,'Retribuciones 2021'!$H$7:$L$15,2,FALSE)*12,2)</f>
        <v>14572.68</v>
      </c>
      <c r="G54" s="53">
        <f>VLOOKUP($C54,'Retribuciones 2021'!$N$7:$Q$15,3,FALSE)*2+ROUND(VLOOKUP($D54,'Retribuciones 2021'!$H$17:$I$48,2,FALSE)*2,2)</f>
        <v>2775.34</v>
      </c>
      <c r="H54" s="87">
        <f>ROUND(('Retribuciones 2021'!$L$8*$E54*$H$60)*2,2)</f>
        <v>2212</v>
      </c>
      <c r="I54" s="88">
        <f t="shared" si="4"/>
        <v>4987.34</v>
      </c>
      <c r="J54" s="89">
        <f t="shared" si="5"/>
        <v>19560.02</v>
      </c>
      <c r="K54" s="53">
        <f>ROUND(VLOOKUP($D54,'Retribuciones 2021'!$H$17:$I$48,2,FALSE)*12,2)</f>
        <v>7659.48</v>
      </c>
      <c r="L54" s="53">
        <f>ROUND('Retribuciones 2021'!$L$8*$E54*12,2)</f>
        <v>13272</v>
      </c>
      <c r="M54" s="55">
        <f>ROUND(VLOOKUP($C54,'Retribuciones 2021'!$H$7:$K$15,4,FALSE)*12,2)</f>
        <v>2254.44</v>
      </c>
      <c r="N54" s="89">
        <f t="shared" si="2"/>
        <v>23185.92</v>
      </c>
      <c r="O54" s="90">
        <f t="shared" si="3"/>
        <v>42745.94</v>
      </c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</row>
    <row r="55" spans="1:229" s="93" customFormat="1" ht="12" customHeight="1">
      <c r="A55" s="84">
        <v>181</v>
      </c>
      <c r="B55" s="91" t="s">
        <v>124</v>
      </c>
      <c r="C55" s="86" t="s">
        <v>63</v>
      </c>
      <c r="D55" s="86">
        <v>22</v>
      </c>
      <c r="E55" s="86">
        <v>43</v>
      </c>
      <c r="F55" s="53">
        <f>ROUND(VLOOKUP($C55,'Retribuciones 2021'!$H$7:$L$15,2,FALSE)*12,2)</f>
        <v>14572.68</v>
      </c>
      <c r="G55" s="53">
        <f>VLOOKUP($C55,'Retribuciones 2021'!$N$7:$Q$15,3,FALSE)*2+ROUND(VLOOKUP($D55,'Retribuciones 2021'!$H$17:$I$48,2,FALSE)*2,2)</f>
        <v>2615.3199999999997</v>
      </c>
      <c r="H55" s="87">
        <f>ROUND(('Retribuciones 2021'!$L$8*$E55*$H$60)*2,2)</f>
        <v>1902.32</v>
      </c>
      <c r="I55" s="88">
        <f t="shared" si="4"/>
        <v>4517.639999999999</v>
      </c>
      <c r="J55" s="89">
        <f t="shared" si="5"/>
        <v>19090.32</v>
      </c>
      <c r="K55" s="53">
        <f>ROUND(VLOOKUP($D55,'Retribuciones 2021'!$H$17:$I$48,2,FALSE)*12,2)</f>
        <v>6699.36</v>
      </c>
      <c r="L55" s="53">
        <f>ROUND('Retribuciones 2021'!$L$8*$E55*12,2)</f>
        <v>11413.92</v>
      </c>
      <c r="M55" s="55">
        <f>ROUND(VLOOKUP($C55,'Retribuciones 2021'!$H$7:$K$15,4,FALSE)*12,2)</f>
        <v>2254.44</v>
      </c>
      <c r="N55" s="89">
        <f t="shared" si="2"/>
        <v>20367.719999999998</v>
      </c>
      <c r="O55" s="90">
        <f t="shared" si="3"/>
        <v>39458.03999999999</v>
      </c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</row>
    <row r="56" spans="1:229" s="93" customFormat="1" ht="12" customHeight="1">
      <c r="A56" s="84">
        <v>182</v>
      </c>
      <c r="B56" s="91" t="s">
        <v>140</v>
      </c>
      <c r="C56" s="86" t="s">
        <v>65</v>
      </c>
      <c r="D56" s="86">
        <v>24</v>
      </c>
      <c r="E56" s="86">
        <v>46</v>
      </c>
      <c r="F56" s="53">
        <f>ROUND(VLOOKUP($C56,'Retribuciones 2021'!$H$7:$L$15,2,FALSE)*12,2)</f>
        <v>12600.72</v>
      </c>
      <c r="G56" s="53">
        <f>VLOOKUP($C56,'Retribuciones 2021'!$N$7:$Q$15,3,FALSE)*2+ROUND(VLOOKUP($D56,'Retribuciones 2021'!$H$17:$I$48,2,FALSE)*2,2)</f>
        <v>2808.24</v>
      </c>
      <c r="H56" s="87">
        <f>ROUND(('Retribuciones 2021'!$L$8*$E56*$H$60)*2,2)</f>
        <v>2035.04</v>
      </c>
      <c r="I56" s="88">
        <f t="shared" si="4"/>
        <v>4843.28</v>
      </c>
      <c r="J56" s="89">
        <f t="shared" si="5"/>
        <v>17444</v>
      </c>
      <c r="K56" s="53">
        <f>ROUND(VLOOKUP($D56,'Retribuciones 2021'!$H$17:$I$48,2,FALSE)*12,2)</f>
        <v>7659.48</v>
      </c>
      <c r="L56" s="53">
        <f>ROUND('Retribuciones 2021'!$L$8*$E56*12,2)</f>
        <v>12210.24</v>
      </c>
      <c r="M56" s="55">
        <f>ROUND(VLOOKUP($C56,'Retribuciones 2021'!$H$7:$K$15,4,FALSE)*12,2)</f>
        <v>1842.6</v>
      </c>
      <c r="N56" s="89">
        <f t="shared" si="2"/>
        <v>21712.32</v>
      </c>
      <c r="O56" s="90">
        <f t="shared" si="3"/>
        <v>39156.32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</row>
    <row r="57" spans="1:229" s="93" customFormat="1" ht="12" customHeight="1">
      <c r="A57" s="84">
        <v>183</v>
      </c>
      <c r="B57" s="91" t="s">
        <v>141</v>
      </c>
      <c r="C57" s="86" t="s">
        <v>65</v>
      </c>
      <c r="D57" s="86">
        <v>24</v>
      </c>
      <c r="E57" s="86">
        <v>46</v>
      </c>
      <c r="F57" s="53">
        <f>ROUND(VLOOKUP($C57,'Retribuciones 2021'!$H$7:$L$15,2,FALSE)*12,2)</f>
        <v>12600.72</v>
      </c>
      <c r="G57" s="53">
        <f>VLOOKUP($C57,'Retribuciones 2021'!$N$7:$Q$15,3,FALSE)*2+ROUND(VLOOKUP($D57,'Retribuciones 2021'!$H$17:$I$48,2,FALSE)*2,2)</f>
        <v>2808.24</v>
      </c>
      <c r="H57" s="87">
        <f>ROUND(('Retribuciones 2021'!$L$8*$E57*$H$60)*2,2)</f>
        <v>2035.04</v>
      </c>
      <c r="I57" s="88">
        <f t="shared" si="4"/>
        <v>4843.28</v>
      </c>
      <c r="J57" s="89">
        <f t="shared" si="5"/>
        <v>17444</v>
      </c>
      <c r="K57" s="53">
        <f>ROUND(VLOOKUP($D57,'Retribuciones 2021'!$H$17:$I$48,2,FALSE)*12,2)</f>
        <v>7659.48</v>
      </c>
      <c r="L57" s="53">
        <f>ROUND('Retribuciones 2021'!$L$8*$E57*12,2)</f>
        <v>12210.24</v>
      </c>
      <c r="M57" s="55">
        <f>ROUND(VLOOKUP($C57,'Retribuciones 2021'!$H$7:$K$15,4,FALSE)*12,2)</f>
        <v>1842.6</v>
      </c>
      <c r="N57" s="89">
        <f t="shared" si="2"/>
        <v>21712.32</v>
      </c>
      <c r="O57" s="90">
        <f t="shared" si="3"/>
        <v>39156.32</v>
      </c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</row>
    <row r="58" spans="1:229" s="102" customFormat="1" ht="12" customHeight="1" thickBot="1">
      <c r="A58" s="95"/>
      <c r="B58" s="96"/>
      <c r="C58" s="97"/>
      <c r="D58" s="97"/>
      <c r="E58" s="97"/>
      <c r="F58" s="99"/>
      <c r="G58" s="100"/>
      <c r="H58" s="98"/>
      <c r="I58" s="99"/>
      <c r="J58" s="100"/>
      <c r="K58" s="98"/>
      <c r="L58" s="98"/>
      <c r="M58" s="98"/>
      <c r="N58" s="100"/>
      <c r="O58" s="101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</row>
    <row r="59" s="82" customFormat="1" ht="12" customHeight="1"/>
    <row r="60" s="82" customFormat="1" ht="12" customHeight="1">
      <c r="H60" s="103">
        <v>1</v>
      </c>
    </row>
  </sheetData>
  <sheetProtection/>
  <mergeCells count="1">
    <mergeCell ref="G4:H4"/>
  </mergeCells>
  <printOptions horizontalCentered="1"/>
  <pageMargins left="0.2755905511811024" right="0.1968503937007874" top="0.5905511811023623" bottom="0.3937007874015748" header="0.1968503937007874" footer="0.1968503937007874"/>
  <pageSetup horizontalDpi="600" verticalDpi="600" orientation="landscape" paperSize="8" r:id="rId1"/>
  <headerFooter alignWithMargins="0">
    <oddFooter>&amp;L&amp;8&amp;F / &amp;A&amp;C&amp;8&amp;P / &amp;N&amp;R&amp;8&amp;D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R108"/>
  <sheetViews>
    <sheetView view="pageBreakPreview" zoomScale="125" zoomScaleSheetLayoutView="125" zoomScalePageLayoutView="0" workbookViewId="0" topLeftCell="A30">
      <pane xSplit="3" topLeftCell="D1" activePane="topRight" state="frozen"/>
      <selection pane="topLeft" activeCell="A1" sqref="A1"/>
      <selection pane="topRight" activeCell="A4" sqref="A4:N59"/>
    </sheetView>
  </sheetViews>
  <sheetFormatPr defaultColWidth="11.421875" defaultRowHeight="12.75"/>
  <cols>
    <col min="1" max="1" width="4.28125" style="15" customWidth="1"/>
    <col min="2" max="2" width="43.7109375" style="14" customWidth="1"/>
    <col min="3" max="3" width="4.140625" style="14" customWidth="1"/>
    <col min="4" max="4" width="5.00390625" style="14" customWidth="1"/>
    <col min="5" max="5" width="6.140625" style="43" customWidth="1"/>
    <col min="6" max="6" width="8.7109375" style="14" customWidth="1"/>
    <col min="7" max="7" width="9.28125" style="14" customWidth="1"/>
    <col min="8" max="8" width="10.140625" style="14" customWidth="1"/>
    <col min="9" max="9" width="10.7109375" style="42" customWidth="1"/>
    <col min="10" max="10" width="9.140625" style="42" customWidth="1"/>
    <col min="11" max="11" width="9.00390625" style="14" customWidth="1"/>
    <col min="12" max="12" width="7.00390625" style="42" customWidth="1"/>
    <col min="13" max="13" width="9.8515625" style="14" customWidth="1"/>
    <col min="14" max="14" width="11.421875" style="15" customWidth="1"/>
    <col min="15" max="16384" width="11.421875" style="14" customWidth="1"/>
  </cols>
  <sheetData>
    <row r="1" spans="1:14" s="74" customFormat="1" ht="12.75" customHeight="1">
      <c r="A1" s="44" t="s">
        <v>137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 customHeight="1">
      <c r="A2" s="2"/>
      <c r="B2" s="9"/>
      <c r="C2" s="2"/>
      <c r="D2" s="2"/>
      <c r="E2" s="5"/>
      <c r="F2" s="9"/>
      <c r="G2" s="9"/>
      <c r="H2" s="9"/>
      <c r="I2" s="4"/>
      <c r="J2" s="4"/>
      <c r="K2" s="9"/>
      <c r="L2" s="4"/>
      <c r="M2" s="9"/>
      <c r="N2" s="9"/>
    </row>
    <row r="3" spans="1:14" ht="13.5" thickBot="1">
      <c r="A3" s="2"/>
      <c r="B3" s="9"/>
      <c r="C3" s="2"/>
      <c r="D3" s="2"/>
      <c r="E3" s="5"/>
      <c r="F3" s="9"/>
      <c r="G3" s="9"/>
      <c r="H3" s="9"/>
      <c r="I3" s="4"/>
      <c r="J3" s="6"/>
      <c r="K3" s="7"/>
      <c r="L3" s="18"/>
      <c r="M3" s="9"/>
      <c r="N3" s="9"/>
    </row>
    <row r="4" spans="1:14" ht="45" customHeight="1">
      <c r="A4" s="148" t="s">
        <v>31</v>
      </c>
      <c r="B4" s="149" t="s">
        <v>6</v>
      </c>
      <c r="C4" s="149" t="s">
        <v>7</v>
      </c>
      <c r="D4" s="149" t="s">
        <v>48</v>
      </c>
      <c r="E4" s="149" t="s">
        <v>46</v>
      </c>
      <c r="F4" s="149" t="s">
        <v>8</v>
      </c>
      <c r="G4" s="150" t="s">
        <v>134</v>
      </c>
      <c r="H4" s="150"/>
      <c r="I4" s="151" t="s">
        <v>9</v>
      </c>
      <c r="J4" s="149" t="s">
        <v>81</v>
      </c>
      <c r="K4" s="149" t="s">
        <v>82</v>
      </c>
      <c r="L4" s="149" t="s">
        <v>10</v>
      </c>
      <c r="M4" s="151" t="s">
        <v>80</v>
      </c>
      <c r="N4" s="152" t="s">
        <v>32</v>
      </c>
    </row>
    <row r="5" spans="1:17" s="62" customFormat="1" ht="12" customHeight="1">
      <c r="A5" s="153">
        <v>203</v>
      </c>
      <c r="B5" s="58" t="s">
        <v>11</v>
      </c>
      <c r="C5" s="51" t="s">
        <v>66</v>
      </c>
      <c r="D5" s="51">
        <v>20</v>
      </c>
      <c r="E5" s="51">
        <v>28</v>
      </c>
      <c r="F5" s="53">
        <f>ROUND(VLOOKUP($C5,'Retribuciones 2021'!$H$7:$L$15,2,FALSE)*12,2)</f>
        <v>9461.04</v>
      </c>
      <c r="G5" s="53">
        <f>VLOOKUP($C5,'Retribuciones 2021'!$N$7:$Q$15,3,FALSE)*2+ROUND(VLOOKUP($D5,'Retribuciones 2021'!$H$17:$I$48,2,FALSE)*2,2)</f>
        <v>2325.8199999999997</v>
      </c>
      <c r="H5" s="87">
        <f>ROUND(('Retribuciones 2021'!$L$8*$E5*$H$63),2)*2</f>
        <v>1238.72</v>
      </c>
      <c r="I5" s="154">
        <f>SUM(F5:H5)</f>
        <v>13025.58</v>
      </c>
      <c r="J5" s="53">
        <f>ROUND(VLOOKUP($D5,'Retribuciones 2021'!$H$17:$I$48,2,FALSE)*12,2)</f>
        <v>5777.76</v>
      </c>
      <c r="K5" s="53">
        <f>ROUND('Retribuciones 2021'!$L$8*$E5*12,2)</f>
        <v>7432.32</v>
      </c>
      <c r="L5" s="53">
        <f>ROUND(VLOOKUP($C5,'Retribuciones 2021'!$H$7:$K$15,4,FALSE)*12,2)</f>
        <v>1519.08</v>
      </c>
      <c r="M5" s="155">
        <f>SUM(J5:L5)</f>
        <v>14729.16</v>
      </c>
      <c r="N5" s="156">
        <f>I5+M5</f>
        <v>27754.739999999998</v>
      </c>
      <c r="P5" s="14"/>
      <c r="Q5" s="14"/>
    </row>
    <row r="6" spans="1:17" s="62" customFormat="1" ht="12" customHeight="1">
      <c r="A6" s="153">
        <v>204</v>
      </c>
      <c r="B6" s="58" t="s">
        <v>12</v>
      </c>
      <c r="C6" s="71" t="s">
        <v>77</v>
      </c>
      <c r="D6" s="51">
        <v>22</v>
      </c>
      <c r="E6" s="51">
        <v>35</v>
      </c>
      <c r="F6" s="53"/>
      <c r="G6" s="53">
        <f>VLOOKUP($C6,'Retribuciones 2021'!$N$7:$Q$15,3,FALSE)*2+ROUND(VLOOKUP($D6,'Retribuciones 2021'!$H$17:$I$48,2,FALSE)*2,2)</f>
        <v>2648.2200000000003</v>
      </c>
      <c r="H6" s="87">
        <f>ROUND(('Retribuciones 2021'!$L$8*$E6*$H$63),2)*2</f>
        <v>1548.4</v>
      </c>
      <c r="I6" s="154">
        <f aca="true" t="shared" si="0" ref="I6:I36">SUM(F6:H6)</f>
        <v>4196.620000000001</v>
      </c>
      <c r="J6" s="53">
        <f>ROUND(VLOOKUP($D6,'Retribuciones 2021'!$H$17:$I$48,2,FALSE)*12,2)</f>
        <v>6699.36</v>
      </c>
      <c r="K6" s="53">
        <f>ROUND('Retribuciones 2021'!$L$8*$E6*12,2)</f>
        <v>9290.4</v>
      </c>
      <c r="L6" s="53">
        <f>ROUND(VLOOKUP($C6,'Retribuciones 2021'!$H$7:$K$15,4,FALSE)*12,2)</f>
        <v>1842.6</v>
      </c>
      <c r="M6" s="155">
        <f aca="true" t="shared" si="1" ref="M6:M59">SUM(J6:L6)</f>
        <v>17832.359999999997</v>
      </c>
      <c r="N6" s="156">
        <f aca="true" t="shared" si="2" ref="N6:N59">I6+M6</f>
        <v>22028.979999999996</v>
      </c>
      <c r="P6" s="14"/>
      <c r="Q6" s="14"/>
    </row>
    <row r="7" spans="1:17" s="62" customFormat="1" ht="12" customHeight="1">
      <c r="A7" s="153">
        <v>206</v>
      </c>
      <c r="B7" s="58" t="s">
        <v>13</v>
      </c>
      <c r="C7" s="51" t="s">
        <v>66</v>
      </c>
      <c r="D7" s="51">
        <v>20</v>
      </c>
      <c r="E7" s="51">
        <v>28</v>
      </c>
      <c r="F7" s="53">
        <f>ROUND(VLOOKUP($C7,'Retribuciones 2021'!$H$7:$L$15,2,FALSE)*12,2)</f>
        <v>9461.04</v>
      </c>
      <c r="G7" s="53">
        <f>VLOOKUP($C7,'Retribuciones 2021'!$N$7:$Q$15,3,FALSE)*2+ROUND(VLOOKUP($D7,'Retribuciones 2021'!$H$17:$I$48,2,FALSE)*2,2)</f>
        <v>2325.8199999999997</v>
      </c>
      <c r="H7" s="87">
        <f>ROUND(('Retribuciones 2021'!$L$8*$E7*$H$63),2)*2</f>
        <v>1238.72</v>
      </c>
      <c r="I7" s="154">
        <f t="shared" si="0"/>
        <v>13025.58</v>
      </c>
      <c r="J7" s="53">
        <f>ROUND(VLOOKUP($D7,'Retribuciones 2021'!$H$17:$I$48,2,FALSE)*12,2)</f>
        <v>5777.76</v>
      </c>
      <c r="K7" s="53">
        <f>ROUND('Retribuciones 2021'!$L$8*$E7*12,2)</f>
        <v>7432.32</v>
      </c>
      <c r="L7" s="53">
        <f>ROUND(VLOOKUP($C7,'Retribuciones 2021'!$H$7:$K$15,4,FALSE)*12,2)</f>
        <v>1519.08</v>
      </c>
      <c r="M7" s="155">
        <f t="shared" si="1"/>
        <v>14729.16</v>
      </c>
      <c r="N7" s="156">
        <f t="shared" si="2"/>
        <v>27754.739999999998</v>
      </c>
      <c r="P7" s="14"/>
      <c r="Q7" s="14"/>
    </row>
    <row r="8" spans="1:17" s="62" customFormat="1" ht="12" customHeight="1">
      <c r="A8" s="153">
        <v>207</v>
      </c>
      <c r="B8" s="58" t="s">
        <v>14</v>
      </c>
      <c r="C8" s="51" t="s">
        <v>66</v>
      </c>
      <c r="D8" s="51">
        <v>20</v>
      </c>
      <c r="E8" s="51">
        <v>28</v>
      </c>
      <c r="F8" s="53">
        <f>ROUND(VLOOKUP($C8,'Retribuciones 2021'!$H$7:$L$15,2,FALSE)*12,2)</f>
        <v>9461.04</v>
      </c>
      <c r="G8" s="53">
        <f>VLOOKUP($C8,'Retribuciones 2021'!$N$7:$Q$15,3,FALSE)*2+ROUND(VLOOKUP($D8,'Retribuciones 2021'!$H$17:$I$48,2,FALSE)*2,2)</f>
        <v>2325.8199999999997</v>
      </c>
      <c r="H8" s="87">
        <f>ROUND(('Retribuciones 2021'!$L$8*$E8*$H$63),2)*2</f>
        <v>1238.72</v>
      </c>
      <c r="I8" s="154">
        <f t="shared" si="0"/>
        <v>13025.58</v>
      </c>
      <c r="J8" s="53">
        <f>ROUND(VLOOKUP($D8,'Retribuciones 2021'!$H$17:$I$48,2,FALSE)*12,2)</f>
        <v>5777.76</v>
      </c>
      <c r="K8" s="53">
        <f>ROUND('Retribuciones 2021'!$L$8*$E8*12,2)</f>
        <v>7432.32</v>
      </c>
      <c r="L8" s="53">
        <f>ROUND(VLOOKUP($C8,'Retribuciones 2021'!$H$7:$K$15,4,FALSE)*12,2)</f>
        <v>1519.08</v>
      </c>
      <c r="M8" s="155">
        <f t="shared" si="1"/>
        <v>14729.16</v>
      </c>
      <c r="N8" s="156">
        <f t="shared" si="2"/>
        <v>27754.739999999998</v>
      </c>
      <c r="P8" s="14"/>
      <c r="Q8" s="14"/>
    </row>
    <row r="9" spans="1:14" s="66" customFormat="1" ht="12" customHeight="1">
      <c r="A9" s="153">
        <v>268</v>
      </c>
      <c r="B9" s="58" t="s">
        <v>99</v>
      </c>
      <c r="C9" s="51" t="s">
        <v>67</v>
      </c>
      <c r="D9" s="51">
        <v>14</v>
      </c>
      <c r="E9" s="51">
        <v>25</v>
      </c>
      <c r="F9" s="53">
        <f>ROUND(VLOOKUP($C9,'Retribuciones 2021'!$H$7:$L$15,2,FALSE)*12,2)</f>
        <v>7874.16</v>
      </c>
      <c r="G9" s="53">
        <f>VLOOKUP($C9,'Retribuciones 2021'!$N$7:$Q$15,3,FALSE)*2+ROUND(VLOOKUP($D9,'Retribuciones 2021'!$H$17:$I$48,2,FALSE)*2,2)</f>
        <v>1968.44</v>
      </c>
      <c r="H9" s="87">
        <f>ROUND(('Retribuciones 2021'!$L$8*$E9*$H$63),2)*2</f>
        <v>1106</v>
      </c>
      <c r="I9" s="154">
        <f t="shared" si="0"/>
        <v>10948.6</v>
      </c>
      <c r="J9" s="53">
        <f>ROUND(VLOOKUP($D9,'Retribuciones 2021'!$H$17:$I$48,2,FALSE)*12,2)</f>
        <v>4008.24</v>
      </c>
      <c r="K9" s="53">
        <f>ROUND('Retribuciones 2021'!$L$8*$E9*12,2)</f>
        <v>6636</v>
      </c>
      <c r="L9" s="53">
        <f>ROUND(VLOOKUP($C9,'Retribuciones 2021'!$H$7:$K$15,4,FALSE)*12,2)</f>
        <v>1252.32</v>
      </c>
      <c r="M9" s="155">
        <f t="shared" si="1"/>
        <v>11896.56</v>
      </c>
      <c r="N9" s="156">
        <f t="shared" si="2"/>
        <v>22845.16</v>
      </c>
    </row>
    <row r="10" spans="1:14" s="64" customFormat="1" ht="12" customHeight="1">
      <c r="A10" s="153">
        <v>210</v>
      </c>
      <c r="B10" s="58" t="s">
        <v>15</v>
      </c>
      <c r="C10" s="51" t="s">
        <v>67</v>
      </c>
      <c r="D10" s="51">
        <v>16</v>
      </c>
      <c r="E10" s="51">
        <v>29</v>
      </c>
      <c r="F10" s="53">
        <f>ROUND(VLOOKUP($C10,'Retribuciones 2021'!$H$7:$L$15,2,FALSE)*12,2)</f>
        <v>7874.16</v>
      </c>
      <c r="G10" s="53">
        <f>VLOOKUP($C10,'Retribuciones 2021'!$N$7:$Q$15,3,FALSE)*2+ROUND(VLOOKUP($D10,'Retribuciones 2021'!$H$17:$I$48,2,FALSE)*2,2)</f>
        <v>2066.78</v>
      </c>
      <c r="H10" s="87">
        <f>ROUND(('Retribuciones 2021'!$L$8*$E10*$H$63),2)*2</f>
        <v>1282.96</v>
      </c>
      <c r="I10" s="154">
        <f t="shared" si="0"/>
        <v>11223.900000000001</v>
      </c>
      <c r="J10" s="53">
        <f>ROUND(VLOOKUP($D10,'Retribuciones 2021'!$H$17:$I$48,2,FALSE)*12,2)</f>
        <v>4598.28</v>
      </c>
      <c r="K10" s="53">
        <f>ROUND('Retribuciones 2021'!$L$8*$E10*12,2)</f>
        <v>7697.76</v>
      </c>
      <c r="L10" s="53">
        <f>ROUND(VLOOKUP($C10,'Retribuciones 2021'!$H$7:$K$15,4,FALSE)*12,2)</f>
        <v>1252.32</v>
      </c>
      <c r="M10" s="155">
        <f t="shared" si="1"/>
        <v>13548.36</v>
      </c>
      <c r="N10" s="156">
        <f t="shared" si="2"/>
        <v>24772.260000000002</v>
      </c>
    </row>
    <row r="11" spans="1:14" s="62" customFormat="1" ht="12" customHeight="1">
      <c r="A11" s="153">
        <v>212</v>
      </c>
      <c r="B11" s="58" t="s">
        <v>16</v>
      </c>
      <c r="C11" s="51" t="s">
        <v>67</v>
      </c>
      <c r="D11" s="51">
        <v>16</v>
      </c>
      <c r="E11" s="51">
        <v>29</v>
      </c>
      <c r="F11" s="53">
        <f>ROUND(VLOOKUP($C11,'Retribuciones 2021'!$H$7:$L$15,2,FALSE)*12,2)</f>
        <v>7874.16</v>
      </c>
      <c r="G11" s="53">
        <f>VLOOKUP($C11,'Retribuciones 2021'!$N$7:$Q$15,3,FALSE)*2+ROUND(VLOOKUP($D11,'Retribuciones 2021'!$H$17:$I$48,2,FALSE)*2,2)</f>
        <v>2066.78</v>
      </c>
      <c r="H11" s="87">
        <f>ROUND(('Retribuciones 2021'!$L$8*$E11*$H$63),2)*2</f>
        <v>1282.96</v>
      </c>
      <c r="I11" s="154">
        <f t="shared" si="0"/>
        <v>11223.900000000001</v>
      </c>
      <c r="J11" s="53">
        <f>ROUND(VLOOKUP($D11,'Retribuciones 2021'!$H$17:$I$48,2,FALSE)*12,2)</f>
        <v>4598.28</v>
      </c>
      <c r="K11" s="53">
        <f>ROUND('Retribuciones 2021'!$L$8*$E11*12,2)</f>
        <v>7697.76</v>
      </c>
      <c r="L11" s="53">
        <f>ROUND(VLOOKUP($C11,'Retribuciones 2021'!$H$7:$K$15,4,FALSE)*12,2)</f>
        <v>1252.32</v>
      </c>
      <c r="M11" s="155">
        <f t="shared" si="1"/>
        <v>13548.36</v>
      </c>
      <c r="N11" s="156">
        <f t="shared" si="2"/>
        <v>24772.260000000002</v>
      </c>
    </row>
    <row r="12" spans="1:14" s="64" customFormat="1" ht="12" customHeight="1">
      <c r="A12" s="153">
        <v>213</v>
      </c>
      <c r="B12" s="58" t="s">
        <v>17</v>
      </c>
      <c r="C12" s="51" t="s">
        <v>67</v>
      </c>
      <c r="D12" s="51">
        <v>16</v>
      </c>
      <c r="E12" s="51">
        <v>29</v>
      </c>
      <c r="F12" s="53">
        <f>ROUND(VLOOKUP($C12,'Retribuciones 2021'!$H$7:$L$15,2,FALSE)*12,2)</f>
        <v>7874.16</v>
      </c>
      <c r="G12" s="53">
        <f>VLOOKUP($C12,'Retribuciones 2021'!$N$7:$Q$15,3,FALSE)*2+ROUND(VLOOKUP($D12,'Retribuciones 2021'!$H$17:$I$48,2,FALSE)*2,2)</f>
        <v>2066.78</v>
      </c>
      <c r="H12" s="87">
        <f>ROUND(('Retribuciones 2021'!$L$8*$E12*$H$63),2)*2</f>
        <v>1282.96</v>
      </c>
      <c r="I12" s="154">
        <f t="shared" si="0"/>
        <v>11223.900000000001</v>
      </c>
      <c r="J12" s="53">
        <f>ROUND(VLOOKUP($D12,'Retribuciones 2021'!$H$17:$I$48,2,FALSE)*12,2)</f>
        <v>4598.28</v>
      </c>
      <c r="K12" s="53">
        <f>ROUND('Retribuciones 2021'!$L$8*$E12*12,2)</f>
        <v>7697.76</v>
      </c>
      <c r="L12" s="53">
        <f>ROUND(VLOOKUP($C12,'Retribuciones 2021'!$H$7:$K$15,4,FALSE)*12,2)</f>
        <v>1252.32</v>
      </c>
      <c r="M12" s="155">
        <f t="shared" si="1"/>
        <v>13548.36</v>
      </c>
      <c r="N12" s="156">
        <f t="shared" si="2"/>
        <v>24772.260000000002</v>
      </c>
    </row>
    <row r="13" spans="1:14" s="62" customFormat="1" ht="12" customHeight="1">
      <c r="A13" s="153">
        <v>216</v>
      </c>
      <c r="B13" s="58" t="s">
        <v>51</v>
      </c>
      <c r="C13" s="51" t="s">
        <v>67</v>
      </c>
      <c r="D13" s="51">
        <v>16</v>
      </c>
      <c r="E13" s="51">
        <v>29</v>
      </c>
      <c r="F13" s="53">
        <f>ROUND(VLOOKUP($C13,'Retribuciones 2021'!$H$7:$L$15,2,FALSE)*12,2)</f>
        <v>7874.16</v>
      </c>
      <c r="G13" s="53">
        <f>VLOOKUP($C13,'Retribuciones 2021'!$N$7:$Q$15,3,FALSE)*2+ROUND(VLOOKUP($D13,'Retribuciones 2021'!$H$17:$I$48,2,FALSE)*2,2)</f>
        <v>2066.78</v>
      </c>
      <c r="H13" s="87">
        <f>ROUND(('Retribuciones 2021'!$L$8*$E13*$H$63),2)*2</f>
        <v>1282.96</v>
      </c>
      <c r="I13" s="154">
        <f t="shared" si="0"/>
        <v>11223.900000000001</v>
      </c>
      <c r="J13" s="53">
        <f>ROUND(VLOOKUP($D13,'Retribuciones 2021'!$H$17:$I$48,2,FALSE)*12,2)</f>
        <v>4598.28</v>
      </c>
      <c r="K13" s="53">
        <f>ROUND('Retribuciones 2021'!$L$8*$E13*12,2)</f>
        <v>7697.76</v>
      </c>
      <c r="L13" s="53">
        <f>ROUND(VLOOKUP($C13,'Retribuciones 2021'!$H$7:$K$15,4,FALSE)*12,2)</f>
        <v>1252.32</v>
      </c>
      <c r="M13" s="155">
        <f t="shared" si="1"/>
        <v>13548.36</v>
      </c>
      <c r="N13" s="156">
        <f t="shared" si="2"/>
        <v>24772.260000000002</v>
      </c>
    </row>
    <row r="14" spans="1:14" s="62" customFormat="1" ht="12" customHeight="1">
      <c r="A14" s="153">
        <v>217</v>
      </c>
      <c r="B14" s="58" t="s">
        <v>114</v>
      </c>
      <c r="C14" s="51" t="s">
        <v>67</v>
      </c>
      <c r="D14" s="51">
        <v>16</v>
      </c>
      <c r="E14" s="51">
        <v>29</v>
      </c>
      <c r="F14" s="53">
        <f>ROUND(VLOOKUP($C14,'Retribuciones 2021'!$H$7:$L$15,2,FALSE)*12,2)</f>
        <v>7874.16</v>
      </c>
      <c r="G14" s="53">
        <f>VLOOKUP($C14,'Retribuciones 2021'!$N$7:$Q$15,3,FALSE)*2+ROUND(VLOOKUP($D14,'Retribuciones 2021'!$H$17:$I$48,2,FALSE)*2,2)</f>
        <v>2066.78</v>
      </c>
      <c r="H14" s="87">
        <f>ROUND(('Retribuciones 2021'!$L$8*$E14*$H$63),2)*2</f>
        <v>1282.96</v>
      </c>
      <c r="I14" s="154">
        <f t="shared" si="0"/>
        <v>11223.900000000001</v>
      </c>
      <c r="J14" s="53">
        <f>ROUND(VLOOKUP($D14,'Retribuciones 2021'!$H$17:$I$48,2,FALSE)*12,2)</f>
        <v>4598.28</v>
      </c>
      <c r="K14" s="53">
        <f>ROUND('Retribuciones 2021'!$L$8*$E14*12,2)</f>
        <v>7697.76</v>
      </c>
      <c r="L14" s="53">
        <f>ROUND(VLOOKUP($C14,'Retribuciones 2021'!$H$7:$K$15,4,FALSE)*12,2)</f>
        <v>1252.32</v>
      </c>
      <c r="M14" s="155">
        <f t="shared" si="1"/>
        <v>13548.36</v>
      </c>
      <c r="N14" s="156">
        <f t="shared" si="2"/>
        <v>24772.260000000002</v>
      </c>
    </row>
    <row r="15" spans="1:14" s="62" customFormat="1" ht="12" customHeight="1">
      <c r="A15" s="153">
        <v>219</v>
      </c>
      <c r="B15" s="58" t="s">
        <v>18</v>
      </c>
      <c r="C15" s="51" t="s">
        <v>67</v>
      </c>
      <c r="D15" s="51">
        <v>14</v>
      </c>
      <c r="E15" s="51">
        <v>24</v>
      </c>
      <c r="F15" s="53">
        <f>ROUND(VLOOKUP($C15,'Retribuciones 2021'!$H$7:$L$15,2,FALSE)*12,2)</f>
        <v>7874.16</v>
      </c>
      <c r="G15" s="53">
        <f>VLOOKUP($C15,'Retribuciones 2021'!$N$7:$Q$15,3,FALSE)*2+ROUND(VLOOKUP($D15,'Retribuciones 2021'!$H$17:$I$48,2,FALSE)*2,2)</f>
        <v>1968.44</v>
      </c>
      <c r="H15" s="87">
        <f>ROUND(('Retribuciones 2021'!$L$8*$E15*$H$63),2)*2</f>
        <v>1061.76</v>
      </c>
      <c r="I15" s="154">
        <f t="shared" si="0"/>
        <v>10904.36</v>
      </c>
      <c r="J15" s="53">
        <f>ROUND(VLOOKUP($D15,'Retribuciones 2021'!$H$17:$I$48,2,FALSE)*12,2)</f>
        <v>4008.24</v>
      </c>
      <c r="K15" s="53">
        <f>ROUND('Retribuciones 2021'!$L$8*$E15*12,2)</f>
        <v>6370.56</v>
      </c>
      <c r="L15" s="53">
        <f>ROUND(VLOOKUP($C15,'Retribuciones 2021'!$H$7:$K$15,4,FALSE)*12,2)</f>
        <v>1252.32</v>
      </c>
      <c r="M15" s="155">
        <f t="shared" si="1"/>
        <v>11631.119999999999</v>
      </c>
      <c r="N15" s="156">
        <f t="shared" si="2"/>
        <v>22535.48</v>
      </c>
    </row>
    <row r="16" spans="1:14" s="60" customFormat="1" ht="12" customHeight="1">
      <c r="A16" s="153">
        <v>269</v>
      </c>
      <c r="B16" s="58" t="s">
        <v>100</v>
      </c>
      <c r="C16" s="51" t="s">
        <v>67</v>
      </c>
      <c r="D16" s="51">
        <v>14</v>
      </c>
      <c r="E16" s="51">
        <v>25</v>
      </c>
      <c r="F16" s="53">
        <f>ROUND(VLOOKUP($C16,'Retribuciones 2021'!$H$7:$L$15,2,FALSE)*12,2)</f>
        <v>7874.16</v>
      </c>
      <c r="G16" s="53">
        <f>VLOOKUP($C16,'Retribuciones 2021'!$N$7:$Q$15,3,FALSE)*2+ROUND(VLOOKUP($D16,'Retribuciones 2021'!$H$17:$I$48,2,FALSE)*2,2)</f>
        <v>1968.44</v>
      </c>
      <c r="H16" s="87">
        <f>ROUND(('Retribuciones 2021'!$L$8*$E16*$H$63),2)*2</f>
        <v>1106</v>
      </c>
      <c r="I16" s="154">
        <f t="shared" si="0"/>
        <v>10948.6</v>
      </c>
      <c r="J16" s="53">
        <f>ROUND(VLOOKUP($D16,'Retribuciones 2021'!$H$17:$I$48,2,FALSE)*12,2)</f>
        <v>4008.24</v>
      </c>
      <c r="K16" s="53">
        <f>ROUND('Retribuciones 2021'!$L$8*$E16*12,2)</f>
        <v>6636</v>
      </c>
      <c r="L16" s="53">
        <f>ROUND(VLOOKUP($C16,'Retribuciones 2021'!$H$7:$K$15,4,FALSE)*12,2)</f>
        <v>1252.32</v>
      </c>
      <c r="M16" s="155">
        <f t="shared" si="1"/>
        <v>11896.56</v>
      </c>
      <c r="N16" s="156">
        <f t="shared" si="2"/>
        <v>22845.16</v>
      </c>
    </row>
    <row r="17" spans="1:14" s="62" customFormat="1" ht="12" customHeight="1">
      <c r="A17" s="153">
        <v>221</v>
      </c>
      <c r="B17" s="58" t="s">
        <v>19</v>
      </c>
      <c r="C17" s="51" t="s">
        <v>67</v>
      </c>
      <c r="D17" s="51">
        <v>16</v>
      </c>
      <c r="E17" s="51">
        <v>29</v>
      </c>
      <c r="F17" s="53">
        <f>ROUND(VLOOKUP($C17,'Retribuciones 2021'!$H$7:$L$15,2,FALSE)*12,2)</f>
        <v>7874.16</v>
      </c>
      <c r="G17" s="53">
        <f>VLOOKUP($C17,'Retribuciones 2021'!$N$7:$Q$15,3,FALSE)*2+ROUND(VLOOKUP($D17,'Retribuciones 2021'!$H$17:$I$48,2,FALSE)*2,2)</f>
        <v>2066.78</v>
      </c>
      <c r="H17" s="87">
        <f>ROUND(('Retribuciones 2021'!$L$8*$E17*$H$63),2)*2</f>
        <v>1282.96</v>
      </c>
      <c r="I17" s="154">
        <f t="shared" si="0"/>
        <v>11223.900000000001</v>
      </c>
      <c r="J17" s="53">
        <f>ROUND(VLOOKUP($D17,'Retribuciones 2021'!$H$17:$I$48,2,FALSE)*12,2)</f>
        <v>4598.28</v>
      </c>
      <c r="K17" s="53">
        <f>ROUND('Retribuciones 2021'!$L$8*$E17*12,2)</f>
        <v>7697.76</v>
      </c>
      <c r="L17" s="53">
        <f>ROUND(VLOOKUP($C17,'Retribuciones 2021'!$H$7:$K$15,4,FALSE)*12,2)</f>
        <v>1252.32</v>
      </c>
      <c r="M17" s="155">
        <f t="shared" si="1"/>
        <v>13548.36</v>
      </c>
      <c r="N17" s="156">
        <f t="shared" si="2"/>
        <v>24772.260000000002</v>
      </c>
    </row>
    <row r="18" spans="1:14" s="63" customFormat="1" ht="12" customHeight="1">
      <c r="A18" s="153">
        <v>222</v>
      </c>
      <c r="B18" s="58" t="s">
        <v>20</v>
      </c>
      <c r="C18" s="51" t="s">
        <v>67</v>
      </c>
      <c r="D18" s="51">
        <v>16</v>
      </c>
      <c r="E18" s="51">
        <v>28</v>
      </c>
      <c r="F18" s="53">
        <f>ROUND(VLOOKUP($C18,'Retribuciones 2021'!$H$7:$L$15,2,FALSE)*12,2)</f>
        <v>7874.16</v>
      </c>
      <c r="G18" s="53">
        <f>VLOOKUP($C18,'Retribuciones 2021'!$N$7:$Q$15,3,FALSE)*2+ROUND(VLOOKUP($D18,'Retribuciones 2021'!$H$17:$I$48,2,FALSE)*2,2)</f>
        <v>2066.78</v>
      </c>
      <c r="H18" s="87">
        <f>ROUND(('Retribuciones 2021'!$L$8*$E18*$H$63),2)*2</f>
        <v>1238.72</v>
      </c>
      <c r="I18" s="154">
        <f t="shared" si="0"/>
        <v>11179.66</v>
      </c>
      <c r="J18" s="53">
        <f>ROUND(VLOOKUP($D18,'Retribuciones 2021'!$H$17:$I$48,2,FALSE)*12,2)</f>
        <v>4598.28</v>
      </c>
      <c r="K18" s="53">
        <f>ROUND('Retribuciones 2021'!$L$8*$E18*12,2)</f>
        <v>7432.32</v>
      </c>
      <c r="L18" s="53">
        <f>ROUND(VLOOKUP($C18,'Retribuciones 2021'!$H$7:$K$15,4,FALSE)*12,2)</f>
        <v>1252.32</v>
      </c>
      <c r="M18" s="155">
        <f t="shared" si="1"/>
        <v>13282.919999999998</v>
      </c>
      <c r="N18" s="156">
        <f t="shared" si="2"/>
        <v>24462.579999999998</v>
      </c>
    </row>
    <row r="19" spans="1:14" s="62" customFormat="1" ht="12" customHeight="1">
      <c r="A19" s="153">
        <v>257</v>
      </c>
      <c r="B19" s="58" t="s">
        <v>76</v>
      </c>
      <c r="C19" s="51" t="s">
        <v>66</v>
      </c>
      <c r="D19" s="51">
        <v>20</v>
      </c>
      <c r="E19" s="51">
        <v>28</v>
      </c>
      <c r="F19" s="53">
        <f>ROUND(VLOOKUP($C19,'Retribuciones 2021'!$H$7:$L$15,2,FALSE)*12,2)</f>
        <v>9461.04</v>
      </c>
      <c r="G19" s="53">
        <f>VLOOKUP($C19,'Retribuciones 2021'!$N$7:$Q$15,3,FALSE)*2+ROUND(VLOOKUP($D19,'Retribuciones 2021'!$H$17:$I$48,2,FALSE)*2,2)</f>
        <v>2325.8199999999997</v>
      </c>
      <c r="H19" s="87">
        <f>ROUND(('Retribuciones 2021'!$L$8*$E19*$H$63),2)*2</f>
        <v>1238.72</v>
      </c>
      <c r="I19" s="154">
        <f t="shared" si="0"/>
        <v>13025.58</v>
      </c>
      <c r="J19" s="53">
        <f>ROUND(VLOOKUP($D19,'Retribuciones 2021'!$H$17:$I$48,2,FALSE)*12,2)</f>
        <v>5777.76</v>
      </c>
      <c r="K19" s="53">
        <f>ROUND('Retribuciones 2021'!$L$8*$E19*12,2)</f>
        <v>7432.32</v>
      </c>
      <c r="L19" s="53">
        <f>ROUND(VLOOKUP($C19,'Retribuciones 2021'!$H$7:$K$15,4,FALSE)*12,2)</f>
        <v>1519.08</v>
      </c>
      <c r="M19" s="155">
        <f t="shared" si="1"/>
        <v>14729.16</v>
      </c>
      <c r="N19" s="156">
        <f t="shared" si="2"/>
        <v>27754.739999999998</v>
      </c>
    </row>
    <row r="20" spans="1:14" s="67" customFormat="1" ht="12" customHeight="1">
      <c r="A20" s="153">
        <v>224</v>
      </c>
      <c r="B20" s="58" t="s">
        <v>22</v>
      </c>
      <c r="C20" s="51" t="s">
        <v>66</v>
      </c>
      <c r="D20" s="51">
        <v>20</v>
      </c>
      <c r="E20" s="51">
        <v>28</v>
      </c>
      <c r="F20" s="53">
        <f>ROUND(VLOOKUP($C20,'Retribuciones 2021'!$H$7:$L$15,2,FALSE)*12,2)</f>
        <v>9461.04</v>
      </c>
      <c r="G20" s="53">
        <f>VLOOKUP($C20,'Retribuciones 2021'!$N$7:$Q$15,3,FALSE)*2+ROUND(VLOOKUP($D20,'Retribuciones 2021'!$H$17:$I$48,2,FALSE)*2,2)</f>
        <v>2325.8199999999997</v>
      </c>
      <c r="H20" s="87">
        <f>ROUND(('Retribuciones 2021'!$L$8*$E20*$H$63),2)*2</f>
        <v>1238.72</v>
      </c>
      <c r="I20" s="154">
        <f t="shared" si="0"/>
        <v>13025.58</v>
      </c>
      <c r="J20" s="53">
        <f>ROUND(VLOOKUP($D20,'Retribuciones 2021'!$H$17:$I$48,2,FALSE)*12,2)</f>
        <v>5777.76</v>
      </c>
      <c r="K20" s="53">
        <f>ROUND('Retribuciones 2021'!$L$8*$E20*12,2)</f>
        <v>7432.32</v>
      </c>
      <c r="L20" s="53">
        <f>ROUND(VLOOKUP($C20,'Retribuciones 2021'!$H$7:$K$15,4,FALSE)*12,2)</f>
        <v>1519.08</v>
      </c>
      <c r="M20" s="155">
        <f t="shared" si="1"/>
        <v>14729.16</v>
      </c>
      <c r="N20" s="156">
        <f t="shared" si="2"/>
        <v>27754.739999999998</v>
      </c>
    </row>
    <row r="21" spans="1:14" s="63" customFormat="1" ht="12" customHeight="1">
      <c r="A21" s="153">
        <v>255</v>
      </c>
      <c r="B21" s="58" t="s">
        <v>72</v>
      </c>
      <c r="C21" s="51" t="s">
        <v>67</v>
      </c>
      <c r="D21" s="51">
        <v>16</v>
      </c>
      <c r="E21" s="51">
        <v>28</v>
      </c>
      <c r="F21" s="53">
        <f>ROUND(VLOOKUP($C21,'Retribuciones 2021'!$H$7:$L$15,2,FALSE)*12,2)</f>
        <v>7874.16</v>
      </c>
      <c r="G21" s="53">
        <f>VLOOKUP($C21,'Retribuciones 2021'!$N$7:$Q$15,3,FALSE)*2+ROUND(VLOOKUP($D21,'Retribuciones 2021'!$H$17:$I$48,2,FALSE)*2,2)</f>
        <v>2066.78</v>
      </c>
      <c r="H21" s="87">
        <f>ROUND(('Retribuciones 2021'!$L$8*$E21*$H$63),2)*2</f>
        <v>1238.72</v>
      </c>
      <c r="I21" s="154">
        <f t="shared" si="0"/>
        <v>11179.66</v>
      </c>
      <c r="J21" s="53">
        <f>ROUND(VLOOKUP($D21,'Retribuciones 2021'!$H$17:$I$48,2,FALSE)*12,2)</f>
        <v>4598.28</v>
      </c>
      <c r="K21" s="53">
        <f>ROUND('Retribuciones 2021'!$L$8*$E21*12,2)</f>
        <v>7432.32</v>
      </c>
      <c r="L21" s="53">
        <f>ROUND(VLOOKUP($C21,'Retribuciones 2021'!$H$7:$K$15,4,FALSE)*12,2)</f>
        <v>1252.32</v>
      </c>
      <c r="M21" s="155">
        <f t="shared" si="1"/>
        <v>13282.919999999998</v>
      </c>
      <c r="N21" s="156">
        <f t="shared" si="2"/>
        <v>24462.579999999998</v>
      </c>
    </row>
    <row r="22" spans="1:14" s="62" customFormat="1" ht="12" customHeight="1">
      <c r="A22" s="153">
        <v>226</v>
      </c>
      <c r="B22" s="58" t="s">
        <v>23</v>
      </c>
      <c r="C22" s="51" t="s">
        <v>67</v>
      </c>
      <c r="D22" s="51">
        <v>16</v>
      </c>
      <c r="E22" s="51">
        <v>28</v>
      </c>
      <c r="F22" s="53">
        <f>ROUND(VLOOKUP($C22,'Retribuciones 2021'!$H$7:$L$15,2,FALSE)*12,2)</f>
        <v>7874.16</v>
      </c>
      <c r="G22" s="53">
        <f>VLOOKUP($C22,'Retribuciones 2021'!$N$7:$Q$15,3,FALSE)*2+ROUND(VLOOKUP($D22,'Retribuciones 2021'!$H$17:$I$48,2,FALSE)*2,2)</f>
        <v>2066.78</v>
      </c>
      <c r="H22" s="87">
        <f>ROUND(('Retribuciones 2021'!$L$8*$E22*$H$63),2)*2</f>
        <v>1238.72</v>
      </c>
      <c r="I22" s="154">
        <f t="shared" si="0"/>
        <v>11179.66</v>
      </c>
      <c r="J22" s="53">
        <f>ROUND(VLOOKUP($D22,'Retribuciones 2021'!$H$17:$I$48,2,FALSE)*12,2)</f>
        <v>4598.28</v>
      </c>
      <c r="K22" s="53">
        <f>ROUND('Retribuciones 2021'!$L$8*$E22*12,2)</f>
        <v>7432.32</v>
      </c>
      <c r="L22" s="53">
        <f>ROUND(VLOOKUP($C22,'Retribuciones 2021'!$H$7:$K$15,4,FALSE)*12,2)</f>
        <v>1252.32</v>
      </c>
      <c r="M22" s="155">
        <f t="shared" si="1"/>
        <v>13282.919999999998</v>
      </c>
      <c r="N22" s="156">
        <f t="shared" si="2"/>
        <v>24462.579999999998</v>
      </c>
    </row>
    <row r="23" spans="1:14" s="62" customFormat="1" ht="12" customHeight="1">
      <c r="A23" s="153">
        <v>227</v>
      </c>
      <c r="B23" s="58" t="s">
        <v>24</v>
      </c>
      <c r="C23" s="51" t="s">
        <v>67</v>
      </c>
      <c r="D23" s="51">
        <v>16</v>
      </c>
      <c r="E23" s="51">
        <v>28</v>
      </c>
      <c r="F23" s="53">
        <f>ROUND(VLOOKUP($C23,'Retribuciones 2021'!$H$7:$L$15,2,FALSE)*12,2)</f>
        <v>7874.16</v>
      </c>
      <c r="G23" s="53">
        <f>VLOOKUP($C23,'Retribuciones 2021'!$N$7:$Q$15,3,FALSE)*2+ROUND(VLOOKUP($D23,'Retribuciones 2021'!$H$17:$I$48,2,FALSE)*2,2)</f>
        <v>2066.78</v>
      </c>
      <c r="H23" s="87">
        <f>ROUND(('Retribuciones 2021'!$L$8*$E23*$H$63),2)*2</f>
        <v>1238.72</v>
      </c>
      <c r="I23" s="154">
        <f t="shared" si="0"/>
        <v>11179.66</v>
      </c>
      <c r="J23" s="53">
        <f>ROUND(VLOOKUP($D23,'Retribuciones 2021'!$H$17:$I$48,2,FALSE)*12,2)</f>
        <v>4598.28</v>
      </c>
      <c r="K23" s="53">
        <f>ROUND('Retribuciones 2021'!$L$8*$E23*12,2)</f>
        <v>7432.32</v>
      </c>
      <c r="L23" s="53">
        <f>ROUND(VLOOKUP($C23,'Retribuciones 2021'!$H$7:$K$15,4,FALSE)*12,2)</f>
        <v>1252.32</v>
      </c>
      <c r="M23" s="155">
        <f t="shared" si="1"/>
        <v>13282.919999999998</v>
      </c>
      <c r="N23" s="156">
        <f t="shared" si="2"/>
        <v>24462.579999999998</v>
      </c>
    </row>
    <row r="24" spans="1:14" s="62" customFormat="1" ht="12" customHeight="1">
      <c r="A24" s="153">
        <v>228</v>
      </c>
      <c r="B24" s="58" t="s">
        <v>25</v>
      </c>
      <c r="C24" s="51" t="s">
        <v>67</v>
      </c>
      <c r="D24" s="51">
        <v>16</v>
      </c>
      <c r="E24" s="51">
        <v>28</v>
      </c>
      <c r="F24" s="53">
        <f>ROUND(VLOOKUP($C24,'Retribuciones 2021'!$H$7:$L$15,2,FALSE)*12,2)</f>
        <v>7874.16</v>
      </c>
      <c r="G24" s="53">
        <f>VLOOKUP($C24,'Retribuciones 2021'!$N$7:$Q$15,3,FALSE)*2+ROUND(VLOOKUP($D24,'Retribuciones 2021'!$H$17:$I$48,2,FALSE)*2,2)</f>
        <v>2066.78</v>
      </c>
      <c r="H24" s="87">
        <f>ROUND(('Retribuciones 2021'!$L$8*$E24*$H$63),2)*2</f>
        <v>1238.72</v>
      </c>
      <c r="I24" s="154">
        <f t="shared" si="0"/>
        <v>11179.66</v>
      </c>
      <c r="J24" s="53">
        <f>ROUND(VLOOKUP($D24,'Retribuciones 2021'!$H$17:$I$48,2,FALSE)*12,2)</f>
        <v>4598.28</v>
      </c>
      <c r="K24" s="53">
        <f>ROUND('Retribuciones 2021'!$L$8*$E24*12,2)</f>
        <v>7432.32</v>
      </c>
      <c r="L24" s="53">
        <f>ROUND(VLOOKUP($C24,'Retribuciones 2021'!$H$7:$K$15,4,FALSE)*12,2)</f>
        <v>1252.32</v>
      </c>
      <c r="M24" s="155">
        <f t="shared" si="1"/>
        <v>13282.919999999998</v>
      </c>
      <c r="N24" s="156">
        <f t="shared" si="2"/>
        <v>24462.579999999998</v>
      </c>
    </row>
    <row r="25" spans="1:14" s="62" customFormat="1" ht="12" customHeight="1">
      <c r="A25" s="153">
        <v>229</v>
      </c>
      <c r="B25" s="58" t="s">
        <v>87</v>
      </c>
      <c r="C25" s="51" t="s">
        <v>67</v>
      </c>
      <c r="D25" s="51">
        <v>16</v>
      </c>
      <c r="E25" s="51">
        <v>28</v>
      </c>
      <c r="F25" s="53">
        <f>ROUND(VLOOKUP($C25,'Retribuciones 2021'!$H$7:$L$15,2,FALSE)*12,2)</f>
        <v>7874.16</v>
      </c>
      <c r="G25" s="53">
        <f>VLOOKUP($C25,'Retribuciones 2021'!$N$7:$Q$15,3,FALSE)*2+ROUND(VLOOKUP($D25,'Retribuciones 2021'!$H$17:$I$48,2,FALSE)*2,2)</f>
        <v>2066.78</v>
      </c>
      <c r="H25" s="87">
        <f>ROUND(('Retribuciones 2021'!$L$8*$E25*$H$63),2)*2</f>
        <v>1238.72</v>
      </c>
      <c r="I25" s="154">
        <f t="shared" si="0"/>
        <v>11179.66</v>
      </c>
      <c r="J25" s="53">
        <f>ROUND(VLOOKUP($D25,'Retribuciones 2021'!$H$17:$I$48,2,FALSE)*12,2)</f>
        <v>4598.28</v>
      </c>
      <c r="K25" s="53">
        <f>ROUND('Retribuciones 2021'!$L$8*$E25*12,2)</f>
        <v>7432.32</v>
      </c>
      <c r="L25" s="53">
        <f>ROUND(VLOOKUP($C25,'Retribuciones 2021'!$H$7:$K$15,4,FALSE)*12,2)</f>
        <v>1252.32</v>
      </c>
      <c r="M25" s="155">
        <f t="shared" si="1"/>
        <v>13282.919999999998</v>
      </c>
      <c r="N25" s="156">
        <f t="shared" si="2"/>
        <v>24462.579999999998</v>
      </c>
    </row>
    <row r="26" spans="1:14" s="63" customFormat="1" ht="12" customHeight="1">
      <c r="A26" s="153">
        <v>230</v>
      </c>
      <c r="B26" s="58" t="s">
        <v>88</v>
      </c>
      <c r="C26" s="51" t="s">
        <v>67</v>
      </c>
      <c r="D26" s="51">
        <v>16</v>
      </c>
      <c r="E26" s="51">
        <v>28</v>
      </c>
      <c r="F26" s="53">
        <f>ROUND(VLOOKUP($C26,'Retribuciones 2021'!$H$7:$L$15,2,FALSE)*12,2)</f>
        <v>7874.16</v>
      </c>
      <c r="G26" s="53">
        <f>VLOOKUP($C26,'Retribuciones 2021'!$N$7:$Q$15,3,FALSE)*2+ROUND(VLOOKUP($D26,'Retribuciones 2021'!$H$17:$I$48,2,FALSE)*2,2)</f>
        <v>2066.78</v>
      </c>
      <c r="H26" s="87">
        <f>ROUND(('Retribuciones 2021'!$L$8*$E26*$H$63),2)*2</f>
        <v>1238.72</v>
      </c>
      <c r="I26" s="154">
        <f t="shared" si="0"/>
        <v>11179.66</v>
      </c>
      <c r="J26" s="53">
        <f>ROUND(VLOOKUP($D26,'Retribuciones 2021'!$H$17:$I$48,2,FALSE)*12,2)</f>
        <v>4598.28</v>
      </c>
      <c r="K26" s="53">
        <f>ROUND('Retribuciones 2021'!$L$8*$E26*12,2)</f>
        <v>7432.32</v>
      </c>
      <c r="L26" s="53">
        <f>ROUND(VLOOKUP($C26,'Retribuciones 2021'!$H$7:$K$15,4,FALSE)*12,2)</f>
        <v>1252.32</v>
      </c>
      <c r="M26" s="155">
        <f t="shared" si="1"/>
        <v>13282.919999999998</v>
      </c>
      <c r="N26" s="156">
        <f t="shared" si="2"/>
        <v>24462.579999999998</v>
      </c>
    </row>
    <row r="27" spans="1:14" s="62" customFormat="1" ht="12" customHeight="1">
      <c r="A27" s="153">
        <v>231</v>
      </c>
      <c r="B27" s="58" t="s">
        <v>26</v>
      </c>
      <c r="C27" s="71" t="s">
        <v>77</v>
      </c>
      <c r="D27" s="51">
        <v>22</v>
      </c>
      <c r="E27" s="51">
        <v>35</v>
      </c>
      <c r="F27" s="53">
        <f>ROUND(VLOOKUP($C27,'Retribuciones 2021'!$H$7:$L$15,2,FALSE)*12,2)</f>
        <v>12600.72</v>
      </c>
      <c r="G27" s="53">
        <f>VLOOKUP($C27,'Retribuciones 2021'!$N$7:$Q$15,3,FALSE)*2+ROUND(VLOOKUP($D27,'Retribuciones 2021'!$H$17:$I$48,2,FALSE)*2,2)</f>
        <v>2648.2200000000003</v>
      </c>
      <c r="H27" s="87">
        <f>ROUND(('Retribuciones 2021'!$L$8*$E27*$H$63),2)*2</f>
        <v>1548.4</v>
      </c>
      <c r="I27" s="154">
        <f t="shared" si="0"/>
        <v>16797.34</v>
      </c>
      <c r="J27" s="53">
        <f>ROUND(VLOOKUP($D27,'Retribuciones 2021'!$H$17:$I$48,2,FALSE)*12,2)</f>
        <v>6699.36</v>
      </c>
      <c r="K27" s="53">
        <f>ROUND('Retribuciones 2021'!$L$8*$E27*12,2)</f>
        <v>9290.4</v>
      </c>
      <c r="L27" s="53">
        <f>ROUND(VLOOKUP($C27,'Retribuciones 2021'!$H$7:$K$15,4,FALSE)*12,2)</f>
        <v>1842.6</v>
      </c>
      <c r="M27" s="155">
        <f t="shared" si="1"/>
        <v>17832.359999999997</v>
      </c>
      <c r="N27" s="156">
        <f t="shared" si="2"/>
        <v>34629.7</v>
      </c>
    </row>
    <row r="28" spans="1:14" s="63" customFormat="1" ht="12" customHeight="1">
      <c r="A28" s="153">
        <v>232</v>
      </c>
      <c r="B28" s="58" t="s">
        <v>27</v>
      </c>
      <c r="C28" s="51" t="s">
        <v>67</v>
      </c>
      <c r="D28" s="51">
        <v>16</v>
      </c>
      <c r="E28" s="51">
        <v>28</v>
      </c>
      <c r="F28" s="53">
        <f>ROUND(VLOOKUP($C28,'Retribuciones 2021'!$H$7:$L$15,2,FALSE)*12,2)</f>
        <v>7874.16</v>
      </c>
      <c r="G28" s="53">
        <f>VLOOKUP($C28,'Retribuciones 2021'!$N$7:$Q$15,3,FALSE)*2+ROUND(VLOOKUP($D28,'Retribuciones 2021'!$H$17:$I$48,2,FALSE)*2,2)</f>
        <v>2066.78</v>
      </c>
      <c r="H28" s="87">
        <f>ROUND(('Retribuciones 2021'!$L$8*$E28*$H$63),2)*2</f>
        <v>1238.72</v>
      </c>
      <c r="I28" s="154">
        <f t="shared" si="0"/>
        <v>11179.66</v>
      </c>
      <c r="J28" s="53">
        <f>ROUND(VLOOKUP($D28,'Retribuciones 2021'!$H$17:$I$48,2,FALSE)*12,2)</f>
        <v>4598.28</v>
      </c>
      <c r="K28" s="53">
        <f>ROUND('Retribuciones 2021'!$L$8*$E28*12,2)</f>
        <v>7432.32</v>
      </c>
      <c r="L28" s="53">
        <f>ROUND(VLOOKUP($C28,'Retribuciones 2021'!$H$7:$K$15,4,FALSE)*12,2)</f>
        <v>1252.32</v>
      </c>
      <c r="M28" s="155">
        <f t="shared" si="1"/>
        <v>13282.919999999998</v>
      </c>
      <c r="N28" s="156">
        <f t="shared" si="2"/>
        <v>24462.579999999998</v>
      </c>
    </row>
    <row r="29" spans="1:14" s="62" customFormat="1" ht="12" customHeight="1">
      <c r="A29" s="153">
        <v>248</v>
      </c>
      <c r="B29" s="58" t="s">
        <v>58</v>
      </c>
      <c r="C29" s="51" t="s">
        <v>67</v>
      </c>
      <c r="D29" s="51">
        <v>16</v>
      </c>
      <c r="E29" s="51">
        <v>28</v>
      </c>
      <c r="F29" s="53">
        <f>ROUND(VLOOKUP($C29,'Retribuciones 2021'!$H$7:$L$15,2,FALSE)*12,2)</f>
        <v>7874.16</v>
      </c>
      <c r="G29" s="53">
        <f>VLOOKUP($C29,'Retribuciones 2021'!$N$7:$Q$15,3,FALSE)*2+ROUND(VLOOKUP($D29,'Retribuciones 2021'!$H$17:$I$48,2,FALSE)*2,2)</f>
        <v>2066.78</v>
      </c>
      <c r="H29" s="87">
        <f>ROUND(('Retribuciones 2021'!$L$8*$E29*$H$63),2)*2</f>
        <v>1238.72</v>
      </c>
      <c r="I29" s="154">
        <f t="shared" si="0"/>
        <v>11179.66</v>
      </c>
      <c r="J29" s="53">
        <f>ROUND(VLOOKUP($D29,'Retribuciones 2021'!$H$17:$I$48,2,FALSE)*12,2)</f>
        <v>4598.28</v>
      </c>
      <c r="K29" s="53">
        <f>ROUND('Retribuciones 2021'!$L$8*$E29*12,2)</f>
        <v>7432.32</v>
      </c>
      <c r="L29" s="53">
        <f>ROUND(VLOOKUP($C29,'Retribuciones 2021'!$H$7:$K$15,4,FALSE)*12,2)</f>
        <v>1252.32</v>
      </c>
      <c r="M29" s="155">
        <f t="shared" si="1"/>
        <v>13282.919999999998</v>
      </c>
      <c r="N29" s="156">
        <f t="shared" si="2"/>
        <v>24462.579999999998</v>
      </c>
    </row>
    <row r="30" spans="1:14" s="62" customFormat="1" ht="12" customHeight="1">
      <c r="A30" s="153">
        <v>247</v>
      </c>
      <c r="B30" s="58" t="s">
        <v>89</v>
      </c>
      <c r="C30" s="51" t="s">
        <v>67</v>
      </c>
      <c r="D30" s="51">
        <v>16</v>
      </c>
      <c r="E30" s="51">
        <v>28</v>
      </c>
      <c r="F30" s="53">
        <f>ROUND(VLOOKUP($C30,'Retribuciones 2021'!$H$7:$L$15,2,FALSE)*12,2)</f>
        <v>7874.16</v>
      </c>
      <c r="G30" s="53">
        <f>VLOOKUP($C30,'Retribuciones 2021'!$N$7:$Q$15,3,FALSE)*2+ROUND(VLOOKUP($D30,'Retribuciones 2021'!$H$17:$I$48,2,FALSE)*2,2)</f>
        <v>2066.78</v>
      </c>
      <c r="H30" s="87">
        <f>ROUND(('Retribuciones 2021'!$L$8*$E30*$H$63),2)*2</f>
        <v>1238.72</v>
      </c>
      <c r="I30" s="157">
        <f t="shared" si="0"/>
        <v>11179.66</v>
      </c>
      <c r="J30" s="53">
        <f>ROUND(VLOOKUP($D30,'Retribuciones 2021'!$H$17:$I$48,2,FALSE)*12,2)</f>
        <v>4598.28</v>
      </c>
      <c r="K30" s="53">
        <f>ROUND('Retribuciones 2021'!$L$8*$E30*12,2)</f>
        <v>7432.32</v>
      </c>
      <c r="L30" s="53">
        <f>ROUND(VLOOKUP($C30,'Retribuciones 2021'!$H$7:$K$15,4,FALSE)*12,2)</f>
        <v>1252.32</v>
      </c>
      <c r="M30" s="155">
        <f t="shared" si="1"/>
        <v>13282.919999999998</v>
      </c>
      <c r="N30" s="156">
        <f t="shared" si="2"/>
        <v>24462.579999999998</v>
      </c>
    </row>
    <row r="31" spans="1:14" s="62" customFormat="1" ht="12" customHeight="1">
      <c r="A31" s="153">
        <v>236</v>
      </c>
      <c r="B31" s="58" t="s">
        <v>28</v>
      </c>
      <c r="C31" s="51" t="s">
        <v>67</v>
      </c>
      <c r="D31" s="51">
        <v>16</v>
      </c>
      <c r="E31" s="51">
        <v>28</v>
      </c>
      <c r="F31" s="53">
        <f>ROUND(VLOOKUP($C31,'Retribuciones 2021'!$H$7:$L$15,2,FALSE)*12,2)</f>
        <v>7874.16</v>
      </c>
      <c r="G31" s="53">
        <f>VLOOKUP($C31,'Retribuciones 2021'!$N$7:$Q$15,3,FALSE)*2+ROUND(VLOOKUP($D31,'Retribuciones 2021'!$H$17:$I$48,2,FALSE)*2,2)</f>
        <v>2066.78</v>
      </c>
      <c r="H31" s="87">
        <f>ROUND(('Retribuciones 2021'!$L$8*$E31*$H$63),2)*2</f>
        <v>1238.72</v>
      </c>
      <c r="I31" s="154">
        <f t="shared" si="0"/>
        <v>11179.66</v>
      </c>
      <c r="J31" s="53">
        <f>ROUND(VLOOKUP($D31,'Retribuciones 2021'!$H$17:$I$48,2,FALSE)*12,2)</f>
        <v>4598.28</v>
      </c>
      <c r="K31" s="53">
        <f>ROUND('Retribuciones 2021'!$L$8*$E31*12,2)</f>
        <v>7432.32</v>
      </c>
      <c r="L31" s="53">
        <f>ROUND(VLOOKUP($C31,'Retribuciones 2021'!$H$7:$K$15,4,FALSE)*12,2)</f>
        <v>1252.32</v>
      </c>
      <c r="M31" s="155">
        <f t="shared" si="1"/>
        <v>13282.919999999998</v>
      </c>
      <c r="N31" s="156">
        <f t="shared" si="2"/>
        <v>24462.579999999998</v>
      </c>
    </row>
    <row r="32" spans="1:14" s="62" customFormat="1" ht="12" customHeight="1">
      <c r="A32" s="153">
        <v>237</v>
      </c>
      <c r="B32" s="58" t="s">
        <v>29</v>
      </c>
      <c r="C32" s="51" t="s">
        <v>67</v>
      </c>
      <c r="D32" s="51">
        <v>16</v>
      </c>
      <c r="E32" s="51">
        <v>28</v>
      </c>
      <c r="F32" s="53">
        <f>ROUND(VLOOKUP($C32,'Retribuciones 2021'!$H$7:$L$15,2,FALSE)*12,2)</f>
        <v>7874.16</v>
      </c>
      <c r="G32" s="53">
        <f>VLOOKUP($C32,'Retribuciones 2021'!$N$7:$Q$15,3,FALSE)*2+ROUND(VLOOKUP($D32,'Retribuciones 2021'!$H$17:$I$48,2,FALSE)*2,2)</f>
        <v>2066.78</v>
      </c>
      <c r="H32" s="87">
        <f>ROUND(('Retribuciones 2021'!$L$8*$E32*$H$63),2)*2</f>
        <v>1238.72</v>
      </c>
      <c r="I32" s="154">
        <f t="shared" si="0"/>
        <v>11179.66</v>
      </c>
      <c r="J32" s="53">
        <f>ROUND(VLOOKUP($D32,'Retribuciones 2021'!$H$17:$I$48,2,FALSE)*12,2)</f>
        <v>4598.28</v>
      </c>
      <c r="K32" s="53">
        <f>ROUND('Retribuciones 2021'!$L$8*$E32*12,2)</f>
        <v>7432.32</v>
      </c>
      <c r="L32" s="53">
        <f>ROUND(VLOOKUP($C32,'Retribuciones 2021'!$H$7:$K$15,4,FALSE)*12,2)</f>
        <v>1252.32</v>
      </c>
      <c r="M32" s="155">
        <f t="shared" si="1"/>
        <v>13282.919999999998</v>
      </c>
      <c r="N32" s="156">
        <f t="shared" si="2"/>
        <v>24462.579999999998</v>
      </c>
    </row>
    <row r="33" spans="1:14" s="62" customFormat="1" ht="12" customHeight="1">
      <c r="A33" s="153">
        <v>238</v>
      </c>
      <c r="B33" s="58" t="s">
        <v>90</v>
      </c>
      <c r="C33" s="51" t="s">
        <v>63</v>
      </c>
      <c r="D33" s="51">
        <v>24</v>
      </c>
      <c r="E33" s="51">
        <v>60</v>
      </c>
      <c r="F33" s="53">
        <f>ROUND(VLOOKUP($C33,'Retribuciones 2021'!$H$7:$L$15,2,FALSE)*12,2)</f>
        <v>14572.68</v>
      </c>
      <c r="G33" s="53">
        <f>VLOOKUP($C33,'Retribuciones 2021'!$N$7:$Q$15,3,FALSE)*2+ROUND(VLOOKUP($D33,'Retribuciones 2021'!$H$17:$I$48,2,FALSE)*2,2)</f>
        <v>2775.34</v>
      </c>
      <c r="H33" s="87">
        <f>ROUND(('Retribuciones 2021'!$L$8*$E33*$H$63),2)*2</f>
        <v>2654.4</v>
      </c>
      <c r="I33" s="154">
        <f t="shared" si="0"/>
        <v>20002.420000000002</v>
      </c>
      <c r="J33" s="53">
        <f>ROUND(VLOOKUP($D33,'Retribuciones 2021'!$H$17:$I$48,2,FALSE)*12,2)</f>
        <v>7659.48</v>
      </c>
      <c r="K33" s="53">
        <f>ROUND('Retribuciones 2021'!$L$8*$E33*12,2)</f>
        <v>15926.4</v>
      </c>
      <c r="L33" s="53">
        <f>ROUND(VLOOKUP($C33,'Retribuciones 2021'!$H$7:$K$15,4,FALSE)*12,2)</f>
        <v>2254.44</v>
      </c>
      <c r="M33" s="155">
        <f t="shared" si="1"/>
        <v>25840.319999999996</v>
      </c>
      <c r="N33" s="156">
        <f t="shared" si="2"/>
        <v>45842.74</v>
      </c>
    </row>
    <row r="34" spans="1:14" s="62" customFormat="1" ht="12" customHeight="1">
      <c r="A34" s="153">
        <v>239</v>
      </c>
      <c r="B34" s="58" t="s">
        <v>30</v>
      </c>
      <c r="C34" s="51" t="s">
        <v>63</v>
      </c>
      <c r="D34" s="51">
        <v>24</v>
      </c>
      <c r="E34" s="51">
        <v>60</v>
      </c>
      <c r="F34" s="53">
        <f>ROUND(VLOOKUP($C34,'Retribuciones 2021'!$H$7:$L$15,2,FALSE)*12,2)</f>
        <v>14572.68</v>
      </c>
      <c r="G34" s="53">
        <f>VLOOKUP($C34,'Retribuciones 2021'!$N$7:$Q$15,3,FALSE)*2+ROUND(VLOOKUP($D34,'Retribuciones 2021'!$H$17:$I$48,2,FALSE)*2,2)</f>
        <v>2775.34</v>
      </c>
      <c r="H34" s="87">
        <f>ROUND(('Retribuciones 2021'!$L$8*$E34*$H$63),2)*2</f>
        <v>2654.4</v>
      </c>
      <c r="I34" s="154">
        <f t="shared" si="0"/>
        <v>20002.420000000002</v>
      </c>
      <c r="J34" s="53">
        <f>ROUND(VLOOKUP($D34,'Retribuciones 2021'!$H$17:$I$48,2,FALSE)*12,2)</f>
        <v>7659.48</v>
      </c>
      <c r="K34" s="53">
        <f>ROUND('Retribuciones 2021'!$L$8*$E34*12,2)</f>
        <v>15926.4</v>
      </c>
      <c r="L34" s="53">
        <f>ROUND(VLOOKUP($C34,'Retribuciones 2021'!$H$7:$K$15,4,FALSE)*12,2)</f>
        <v>2254.44</v>
      </c>
      <c r="M34" s="155">
        <f t="shared" si="1"/>
        <v>25840.319999999996</v>
      </c>
      <c r="N34" s="156">
        <f t="shared" si="2"/>
        <v>45842.74</v>
      </c>
    </row>
    <row r="35" spans="1:14" s="61" customFormat="1" ht="12" customHeight="1">
      <c r="A35" s="153">
        <v>241</v>
      </c>
      <c r="B35" s="58" t="s">
        <v>19</v>
      </c>
      <c r="C35" s="51" t="s">
        <v>67</v>
      </c>
      <c r="D35" s="51">
        <v>16</v>
      </c>
      <c r="E35" s="51">
        <v>29</v>
      </c>
      <c r="F35" s="53">
        <f>ROUND(VLOOKUP($C35,'Retribuciones 2021'!$H$7:$L$15,2,FALSE)*12,2)</f>
        <v>7874.16</v>
      </c>
      <c r="G35" s="53">
        <f>VLOOKUP($C35,'Retribuciones 2021'!$N$7:$Q$15,3,FALSE)*2+ROUND(VLOOKUP($D35,'Retribuciones 2021'!$H$17:$I$48,2,FALSE)*2,2)</f>
        <v>2066.78</v>
      </c>
      <c r="H35" s="87">
        <f>ROUND(('Retribuciones 2021'!$L$8*$E35*$H$63),2)*2</f>
        <v>1282.96</v>
      </c>
      <c r="I35" s="154">
        <f t="shared" si="0"/>
        <v>11223.900000000001</v>
      </c>
      <c r="J35" s="53">
        <f>ROUND(VLOOKUP($D35,'Retribuciones 2021'!$H$17:$I$48,2,FALSE)*12,2)</f>
        <v>4598.28</v>
      </c>
      <c r="K35" s="53">
        <f>ROUND('Retribuciones 2021'!$L$8*$E35*12,2)</f>
        <v>7697.76</v>
      </c>
      <c r="L35" s="53">
        <f>ROUND(VLOOKUP($C35,'Retribuciones 2021'!$H$7:$K$15,4,FALSE)*12,2)</f>
        <v>1252.32</v>
      </c>
      <c r="M35" s="155">
        <f t="shared" si="1"/>
        <v>13548.36</v>
      </c>
      <c r="N35" s="156">
        <f t="shared" si="2"/>
        <v>24772.260000000002</v>
      </c>
    </row>
    <row r="36" spans="1:14" s="62" customFormat="1" ht="12" customHeight="1">
      <c r="A36" s="153">
        <v>242</v>
      </c>
      <c r="B36" s="58" t="s">
        <v>52</v>
      </c>
      <c r="C36" s="51" t="s">
        <v>67</v>
      </c>
      <c r="D36" s="51">
        <v>16</v>
      </c>
      <c r="E36" s="51">
        <v>29</v>
      </c>
      <c r="F36" s="53">
        <f>ROUND(VLOOKUP($C36,'Retribuciones 2021'!$H$7:$L$15,2,FALSE)*12,2)</f>
        <v>7874.16</v>
      </c>
      <c r="G36" s="53">
        <f>VLOOKUP($C36,'Retribuciones 2021'!$N$7:$Q$15,3,FALSE)*2+ROUND(VLOOKUP($D36,'Retribuciones 2021'!$H$17:$I$48,2,FALSE)*2,2)</f>
        <v>2066.78</v>
      </c>
      <c r="H36" s="87">
        <f>ROUND(('Retribuciones 2021'!$L$8*$E36*$H$63),2)*2</f>
        <v>1282.96</v>
      </c>
      <c r="I36" s="154">
        <f t="shared" si="0"/>
        <v>11223.900000000001</v>
      </c>
      <c r="J36" s="53">
        <f>ROUND(VLOOKUP($D36,'Retribuciones 2021'!$H$17:$I$48,2,FALSE)*12,2)</f>
        <v>4598.28</v>
      </c>
      <c r="K36" s="53">
        <f>ROUND('Retribuciones 2021'!$L$8*$E36*12,2)</f>
        <v>7697.76</v>
      </c>
      <c r="L36" s="53">
        <f>ROUND(VLOOKUP($C36,'Retribuciones 2021'!$H$7:$K$15,4,FALSE)*12,2)</f>
        <v>1252.32</v>
      </c>
      <c r="M36" s="155">
        <f t="shared" si="1"/>
        <v>13548.36</v>
      </c>
      <c r="N36" s="156">
        <f t="shared" si="2"/>
        <v>24772.260000000002</v>
      </c>
    </row>
    <row r="37" spans="1:14" s="62" customFormat="1" ht="12" customHeight="1">
      <c r="A37" s="153">
        <v>243</v>
      </c>
      <c r="B37" s="58" t="s">
        <v>53</v>
      </c>
      <c r="C37" s="51" t="s">
        <v>67</v>
      </c>
      <c r="D37" s="51">
        <v>16</v>
      </c>
      <c r="E37" s="51">
        <v>29</v>
      </c>
      <c r="F37" s="53">
        <f>ROUND(VLOOKUP($C37,'Retribuciones 2021'!$H$7:$L$15,2,FALSE)*12,2)</f>
        <v>7874.16</v>
      </c>
      <c r="G37" s="53">
        <f>VLOOKUP($C37,'Retribuciones 2021'!$N$7:$Q$15,3,FALSE)*2+ROUND(VLOOKUP($D37,'Retribuciones 2021'!$H$17:$I$48,2,FALSE)*2,2)</f>
        <v>2066.78</v>
      </c>
      <c r="H37" s="87">
        <f>ROUND(('Retribuciones 2021'!$L$8*$E37*$H$63),2)*2</f>
        <v>1282.96</v>
      </c>
      <c r="I37" s="154">
        <f aca="true" t="shared" si="3" ref="I37:I59">SUM(F37:H37)</f>
        <v>11223.900000000001</v>
      </c>
      <c r="J37" s="53">
        <f>ROUND(VLOOKUP($D37,'Retribuciones 2021'!$H$17:$I$48,2,FALSE)*12,2)</f>
        <v>4598.28</v>
      </c>
      <c r="K37" s="53">
        <f>ROUND('Retribuciones 2021'!$L$8*$E37*12,2)</f>
        <v>7697.76</v>
      </c>
      <c r="L37" s="53">
        <f>ROUND(VLOOKUP($C37,'Retribuciones 2021'!$H$7:$K$15,4,FALSE)*12,2)</f>
        <v>1252.32</v>
      </c>
      <c r="M37" s="155">
        <f t="shared" si="1"/>
        <v>13548.36</v>
      </c>
      <c r="N37" s="156">
        <f t="shared" si="2"/>
        <v>24772.260000000002</v>
      </c>
    </row>
    <row r="38" spans="1:14" s="62" customFormat="1" ht="12" customHeight="1">
      <c r="A38" s="153">
        <v>244</v>
      </c>
      <c r="B38" s="58" t="s">
        <v>115</v>
      </c>
      <c r="C38" s="51" t="s">
        <v>67</v>
      </c>
      <c r="D38" s="51">
        <v>16</v>
      </c>
      <c r="E38" s="51">
        <v>29</v>
      </c>
      <c r="F38" s="53">
        <f>ROUND(VLOOKUP($C38,'Retribuciones 2021'!$H$7:$L$15,2,FALSE)*12,2)</f>
        <v>7874.16</v>
      </c>
      <c r="G38" s="53">
        <f>VLOOKUP($C38,'Retribuciones 2021'!$N$7:$Q$15,3,FALSE)*2+ROUND(VLOOKUP($D38,'Retribuciones 2021'!$H$17:$I$48,2,FALSE)*2,2)</f>
        <v>2066.78</v>
      </c>
      <c r="H38" s="87">
        <f>ROUND(('Retribuciones 2021'!$L$8*$E38*$H$63),2)*2</f>
        <v>1282.96</v>
      </c>
      <c r="I38" s="154">
        <f t="shared" si="3"/>
        <v>11223.900000000001</v>
      </c>
      <c r="J38" s="53">
        <f>ROUND(VLOOKUP($D38,'Retribuciones 2021'!$H$17:$I$48,2,FALSE)*12,2)</f>
        <v>4598.28</v>
      </c>
      <c r="K38" s="53">
        <f>ROUND('Retribuciones 2021'!$L$8*$E38*12,2)</f>
        <v>7697.76</v>
      </c>
      <c r="L38" s="53">
        <f>ROUND(VLOOKUP($C38,'Retribuciones 2021'!$H$7:$K$15,4,FALSE)*12,2)</f>
        <v>1252.32</v>
      </c>
      <c r="M38" s="155">
        <f t="shared" si="1"/>
        <v>13548.36</v>
      </c>
      <c r="N38" s="156">
        <f t="shared" si="2"/>
        <v>24772.260000000002</v>
      </c>
    </row>
    <row r="39" spans="1:14" s="62" customFormat="1" ht="12" customHeight="1">
      <c r="A39" s="153">
        <v>245</v>
      </c>
      <c r="B39" s="58" t="s">
        <v>54</v>
      </c>
      <c r="C39" s="51" t="s">
        <v>67</v>
      </c>
      <c r="D39" s="51">
        <v>16</v>
      </c>
      <c r="E39" s="51">
        <v>29</v>
      </c>
      <c r="F39" s="53">
        <f>ROUND(VLOOKUP($C39,'Retribuciones 2021'!$H$7:$L$15,2,FALSE)*12,2)</f>
        <v>7874.16</v>
      </c>
      <c r="G39" s="53">
        <f>VLOOKUP($C39,'Retribuciones 2021'!$N$7:$Q$15,3,FALSE)*2+ROUND(VLOOKUP($D39,'Retribuciones 2021'!$H$17:$I$48,2,FALSE)*2,2)</f>
        <v>2066.78</v>
      </c>
      <c r="H39" s="87">
        <f>ROUND(('Retribuciones 2021'!$L$8*$E39*$H$63),2)*2</f>
        <v>1282.96</v>
      </c>
      <c r="I39" s="154">
        <f t="shared" si="3"/>
        <v>11223.900000000001</v>
      </c>
      <c r="J39" s="53">
        <f>ROUND(VLOOKUP($D39,'Retribuciones 2021'!$H$17:$I$48,2,FALSE)*12,2)</f>
        <v>4598.28</v>
      </c>
      <c r="K39" s="53">
        <f>ROUND('Retribuciones 2021'!$L$8*$E39*12,2)</f>
        <v>7697.76</v>
      </c>
      <c r="L39" s="53">
        <f>ROUND(VLOOKUP($C39,'Retribuciones 2021'!$H$7:$K$15,4,FALSE)*12,2)</f>
        <v>1252.32</v>
      </c>
      <c r="M39" s="155">
        <f t="shared" si="1"/>
        <v>13548.36</v>
      </c>
      <c r="N39" s="156">
        <f t="shared" si="2"/>
        <v>24772.260000000002</v>
      </c>
    </row>
    <row r="40" spans="1:14" s="62" customFormat="1" ht="12" customHeight="1">
      <c r="A40" s="153">
        <v>246</v>
      </c>
      <c r="B40" s="58" t="s">
        <v>55</v>
      </c>
      <c r="C40" s="51" t="s">
        <v>67</v>
      </c>
      <c r="D40" s="51">
        <v>14</v>
      </c>
      <c r="E40" s="51">
        <v>24</v>
      </c>
      <c r="F40" s="53">
        <f>ROUND(VLOOKUP($C40,'Retribuciones 2021'!$H$7:$L$15,2,FALSE)*12,2)</f>
        <v>7874.16</v>
      </c>
      <c r="G40" s="53">
        <f>VLOOKUP($C40,'Retribuciones 2021'!$N$7:$Q$15,3,FALSE)*2+ROUND(VLOOKUP($D40,'Retribuciones 2021'!$H$17:$I$48,2,FALSE)*2,2)</f>
        <v>1968.44</v>
      </c>
      <c r="H40" s="87">
        <f>ROUND(('Retribuciones 2021'!$L$8*$E40*$H$63),2)*2</f>
        <v>1061.76</v>
      </c>
      <c r="I40" s="154">
        <f t="shared" si="3"/>
        <v>10904.36</v>
      </c>
      <c r="J40" s="53">
        <f>ROUND(VLOOKUP($D40,'Retribuciones 2021'!$H$17:$I$48,2,FALSE)*12,2)</f>
        <v>4008.24</v>
      </c>
      <c r="K40" s="53">
        <f>ROUND('Retribuciones 2021'!$L$8*$E40*12,2)</f>
        <v>6370.56</v>
      </c>
      <c r="L40" s="53">
        <f>ROUND(VLOOKUP($C40,'Retribuciones 2021'!$H$7:$K$15,4,FALSE)*12,2)</f>
        <v>1252.32</v>
      </c>
      <c r="M40" s="155">
        <f t="shared" si="1"/>
        <v>11631.119999999999</v>
      </c>
      <c r="N40" s="156">
        <f t="shared" si="2"/>
        <v>22535.48</v>
      </c>
    </row>
    <row r="41" spans="1:14" s="62" customFormat="1" ht="12" customHeight="1">
      <c r="A41" s="153">
        <v>249</v>
      </c>
      <c r="B41" s="58" t="s">
        <v>59</v>
      </c>
      <c r="C41" s="51" t="s">
        <v>65</v>
      </c>
      <c r="D41" s="51">
        <v>24</v>
      </c>
      <c r="E41" s="51">
        <v>46</v>
      </c>
      <c r="F41" s="53">
        <f>ROUND(VLOOKUP($C41,'Retribuciones 2021'!$H$7:$L$15,2,FALSE)*12,2)</f>
        <v>12600.72</v>
      </c>
      <c r="G41" s="53">
        <f>VLOOKUP($C41,'Retribuciones 2021'!$N$7:$Q$15,3,FALSE)*2+ROUND(VLOOKUP($D41,'Retribuciones 2021'!$H$17:$I$48,2,FALSE)*2,2)</f>
        <v>2808.24</v>
      </c>
      <c r="H41" s="87">
        <f>ROUND(('Retribuciones 2021'!$L$8*$E41*$H$63),2)*2</f>
        <v>2035.04</v>
      </c>
      <c r="I41" s="154">
        <f t="shared" si="3"/>
        <v>17444</v>
      </c>
      <c r="J41" s="53">
        <f>ROUND(VLOOKUP($D41,'Retribuciones 2021'!$H$17:$I$48,2,FALSE)*12,2)</f>
        <v>7659.48</v>
      </c>
      <c r="K41" s="53">
        <f>ROUND('Retribuciones 2021'!$L$8*$E41*12,2)</f>
        <v>12210.24</v>
      </c>
      <c r="L41" s="53">
        <f>ROUND(VLOOKUP($C41,'Retribuciones 2021'!$H$7:$K$15,4,FALSE)*12,2)</f>
        <v>1842.6</v>
      </c>
      <c r="M41" s="155">
        <f t="shared" si="1"/>
        <v>21712.32</v>
      </c>
      <c r="N41" s="156">
        <f t="shared" si="2"/>
        <v>39156.32</v>
      </c>
    </row>
    <row r="42" spans="1:14" s="62" customFormat="1" ht="12" customHeight="1">
      <c r="A42" s="153">
        <v>250</v>
      </c>
      <c r="B42" s="58" t="s">
        <v>60</v>
      </c>
      <c r="C42" s="51" t="s">
        <v>67</v>
      </c>
      <c r="D42" s="51">
        <v>14</v>
      </c>
      <c r="E42" s="51">
        <v>24</v>
      </c>
      <c r="F42" s="53">
        <f>ROUND(VLOOKUP($C42,'Retribuciones 2021'!$H$7:$L$15,2,FALSE)*12,2)</f>
        <v>7874.16</v>
      </c>
      <c r="G42" s="53">
        <f>VLOOKUP($C42,'Retribuciones 2021'!$N$7:$Q$15,3,FALSE)*2+ROUND(VLOOKUP($D42,'Retribuciones 2021'!$H$17:$I$48,2,FALSE)*2,2)</f>
        <v>1968.44</v>
      </c>
      <c r="H42" s="87">
        <f>ROUND(('Retribuciones 2021'!$L$8*$E42*$H$63),2)*2</f>
        <v>1061.76</v>
      </c>
      <c r="I42" s="154">
        <f t="shared" si="3"/>
        <v>10904.36</v>
      </c>
      <c r="J42" s="53">
        <f>ROUND(VLOOKUP($D42,'Retribuciones 2021'!$H$17:$I$48,2,FALSE)*12,2)</f>
        <v>4008.24</v>
      </c>
      <c r="K42" s="53">
        <f>ROUND('Retribuciones 2021'!$L$8*$E42*12,2)</f>
        <v>6370.56</v>
      </c>
      <c r="L42" s="53">
        <f>ROUND(VLOOKUP($C42,'Retribuciones 2021'!$H$7:$K$15,4,FALSE)*12,2)</f>
        <v>1252.32</v>
      </c>
      <c r="M42" s="155">
        <f t="shared" si="1"/>
        <v>11631.119999999999</v>
      </c>
      <c r="N42" s="156">
        <f t="shared" si="2"/>
        <v>22535.48</v>
      </c>
    </row>
    <row r="43" spans="1:14" s="60" customFormat="1" ht="12" customHeight="1">
      <c r="A43" s="153">
        <v>251</v>
      </c>
      <c r="B43" s="58" t="s">
        <v>21</v>
      </c>
      <c r="C43" s="51" t="s">
        <v>66</v>
      </c>
      <c r="D43" s="51">
        <v>22</v>
      </c>
      <c r="E43" s="51">
        <v>33</v>
      </c>
      <c r="F43" s="53">
        <f>ROUND(VLOOKUP($C43,'Retribuciones 2021'!$H$7:$L$15,2,FALSE)*12,2)</f>
        <v>9461.04</v>
      </c>
      <c r="G43" s="53">
        <f>VLOOKUP($C43,'Retribuciones 2021'!$N$7:$Q$15,3,FALSE)*2+ROUND(VLOOKUP($D43,'Retribuciones 2021'!$H$17:$I$48,2,FALSE)*2,2)</f>
        <v>2479.42</v>
      </c>
      <c r="H43" s="87">
        <f>ROUND(('Retribuciones 2021'!$L$8*$E43*$H$63),2)*2</f>
        <v>1459.92</v>
      </c>
      <c r="I43" s="154">
        <f t="shared" si="3"/>
        <v>13400.380000000001</v>
      </c>
      <c r="J43" s="53">
        <f>ROUND(VLOOKUP($D43,'Retribuciones 2021'!$H$17:$I$48,2,FALSE)*12,2)</f>
        <v>6699.36</v>
      </c>
      <c r="K43" s="53">
        <f>ROUND('Retribuciones 2021'!$L$8*$E43*12,2)</f>
        <v>8759.52</v>
      </c>
      <c r="L43" s="53">
        <f>ROUND(VLOOKUP($C43,'Retribuciones 2021'!$H$7:$K$15,4,FALSE)*12,2)</f>
        <v>1519.08</v>
      </c>
      <c r="M43" s="155">
        <f t="shared" si="1"/>
        <v>16977.96</v>
      </c>
      <c r="N43" s="156">
        <f t="shared" si="2"/>
        <v>30378.34</v>
      </c>
    </row>
    <row r="44" spans="1:14" s="62" customFormat="1" ht="12" customHeight="1">
      <c r="A44" s="153">
        <v>252</v>
      </c>
      <c r="B44" s="58" t="s">
        <v>61</v>
      </c>
      <c r="C44" s="51" t="s">
        <v>67</v>
      </c>
      <c r="D44" s="51">
        <v>16</v>
      </c>
      <c r="E44" s="51">
        <v>28</v>
      </c>
      <c r="F44" s="53">
        <f>ROUND(VLOOKUP($C44,'Retribuciones 2021'!$H$7:$L$15,2,FALSE)*12,2)</f>
        <v>7874.16</v>
      </c>
      <c r="G44" s="53">
        <f>VLOOKUP($C44,'Retribuciones 2021'!$N$7:$Q$15,3,FALSE)*2+ROUND(VLOOKUP($D44,'Retribuciones 2021'!$H$17:$I$48,2,FALSE)*2,2)</f>
        <v>2066.78</v>
      </c>
      <c r="H44" s="87">
        <f>ROUND(('Retribuciones 2021'!$L$8*$E44*$H$63),2)*2</f>
        <v>1238.72</v>
      </c>
      <c r="I44" s="154">
        <f t="shared" si="3"/>
        <v>11179.66</v>
      </c>
      <c r="J44" s="53">
        <f>ROUND(VLOOKUP($D44,'Retribuciones 2021'!$H$17:$I$48,2,FALSE)*12,2)</f>
        <v>4598.28</v>
      </c>
      <c r="K44" s="53">
        <f>ROUND('Retribuciones 2021'!$L$8*$E44*12,2)</f>
        <v>7432.32</v>
      </c>
      <c r="L44" s="53">
        <f>ROUND(VLOOKUP($C44,'Retribuciones 2021'!$H$7:$K$15,4,FALSE)*12,2)</f>
        <v>1252.32</v>
      </c>
      <c r="M44" s="155">
        <f t="shared" si="1"/>
        <v>13282.919999999998</v>
      </c>
      <c r="N44" s="156">
        <f t="shared" si="2"/>
        <v>24462.579999999998</v>
      </c>
    </row>
    <row r="45" spans="1:14" s="62" customFormat="1" ht="12" customHeight="1">
      <c r="A45" s="153">
        <v>253</v>
      </c>
      <c r="B45" s="58" t="s">
        <v>62</v>
      </c>
      <c r="C45" s="51" t="s">
        <v>67</v>
      </c>
      <c r="D45" s="51">
        <v>16</v>
      </c>
      <c r="E45" s="51">
        <v>28</v>
      </c>
      <c r="F45" s="53">
        <f>ROUND(VLOOKUP($C45,'Retribuciones 2021'!$H$7:$L$15,2,FALSE)*12,2)</f>
        <v>7874.16</v>
      </c>
      <c r="G45" s="53">
        <f>VLOOKUP($C45,'Retribuciones 2021'!$N$7:$Q$15,3,FALSE)*2+ROUND(VLOOKUP($D45,'Retribuciones 2021'!$H$17:$I$48,2,FALSE)*2,2)</f>
        <v>2066.78</v>
      </c>
      <c r="H45" s="87">
        <f>ROUND(('Retribuciones 2021'!$L$8*$E45*$H$63),2)*2</f>
        <v>1238.72</v>
      </c>
      <c r="I45" s="154">
        <f t="shared" si="3"/>
        <v>11179.66</v>
      </c>
      <c r="J45" s="53">
        <f>ROUND(VLOOKUP($D45,'Retribuciones 2021'!$H$17:$I$48,2,FALSE)*12,2)</f>
        <v>4598.28</v>
      </c>
      <c r="K45" s="53">
        <f>ROUND('Retribuciones 2021'!$L$8*$E45*12,2)</f>
        <v>7432.32</v>
      </c>
      <c r="L45" s="53">
        <f>ROUND(VLOOKUP($C45,'Retribuciones 2021'!$H$7:$K$15,4,FALSE)*12,2)</f>
        <v>1252.32</v>
      </c>
      <c r="M45" s="155">
        <f t="shared" si="1"/>
        <v>13282.919999999998</v>
      </c>
      <c r="N45" s="156">
        <f t="shared" si="2"/>
        <v>24462.579999999998</v>
      </c>
    </row>
    <row r="46" spans="1:14" s="65" customFormat="1" ht="12" customHeight="1">
      <c r="A46" s="153">
        <v>270</v>
      </c>
      <c r="B46" s="58" t="s">
        <v>91</v>
      </c>
      <c r="C46" s="51" t="s">
        <v>67</v>
      </c>
      <c r="D46" s="51">
        <v>16</v>
      </c>
      <c r="E46" s="51">
        <v>28</v>
      </c>
      <c r="F46" s="53">
        <f>ROUND(VLOOKUP($C46,'Retribuciones 2021'!$H$7:$L$15,2,FALSE)*12,2)</f>
        <v>7874.16</v>
      </c>
      <c r="G46" s="53">
        <f>VLOOKUP($C46,'Retribuciones 2021'!$N$7:$Q$15,3,FALSE)*2+ROUND(VLOOKUP($D46,'Retribuciones 2021'!$H$17:$I$48,2,FALSE)*2,2)</f>
        <v>2066.78</v>
      </c>
      <c r="H46" s="87">
        <f>ROUND(('Retribuciones 2021'!$L$8*$E46*$H$63),2)*2</f>
        <v>1238.72</v>
      </c>
      <c r="I46" s="154">
        <f t="shared" si="3"/>
        <v>11179.66</v>
      </c>
      <c r="J46" s="53">
        <f>ROUND(VLOOKUP($D46,'Retribuciones 2021'!$H$17:$I$48,2,FALSE)*12,2)</f>
        <v>4598.28</v>
      </c>
      <c r="K46" s="53">
        <f>ROUND('Retribuciones 2021'!$L$8*$E46*12,2)</f>
        <v>7432.32</v>
      </c>
      <c r="L46" s="53">
        <f>ROUND(VLOOKUP($C46,'Retribuciones 2021'!$H$7:$K$15,4,FALSE)*12,2)</f>
        <v>1252.32</v>
      </c>
      <c r="M46" s="155">
        <f t="shared" si="1"/>
        <v>13282.919999999998</v>
      </c>
      <c r="N46" s="156">
        <f t="shared" si="2"/>
        <v>24462.579999999998</v>
      </c>
    </row>
    <row r="47" spans="1:14" s="62" customFormat="1" ht="12" customHeight="1">
      <c r="A47" s="153">
        <v>258</v>
      </c>
      <c r="B47" s="52" t="s">
        <v>92</v>
      </c>
      <c r="C47" s="51" t="s">
        <v>65</v>
      </c>
      <c r="D47" s="51">
        <v>24</v>
      </c>
      <c r="E47" s="51">
        <v>53</v>
      </c>
      <c r="F47" s="53">
        <f>ROUND(VLOOKUP($C47,'Retribuciones 2021'!$H$7:$L$15,2,FALSE)*12,2)</f>
        <v>12600.72</v>
      </c>
      <c r="G47" s="53">
        <f>VLOOKUP($C47,'Retribuciones 2021'!$N$7:$Q$15,3,FALSE)*2+ROUND(VLOOKUP($D47,'Retribuciones 2021'!$H$17:$I$48,2,FALSE)*2,2)</f>
        <v>2808.24</v>
      </c>
      <c r="H47" s="87">
        <f>ROUND(('Retribuciones 2021'!$L$8*$E47*$H$63),2)*2</f>
        <v>2344.72</v>
      </c>
      <c r="I47" s="154">
        <f t="shared" si="3"/>
        <v>17753.68</v>
      </c>
      <c r="J47" s="53">
        <f>ROUND(VLOOKUP($D47,'Retribuciones 2021'!$H$17:$I$48,2,FALSE)*12,2)</f>
        <v>7659.48</v>
      </c>
      <c r="K47" s="53">
        <f>ROUND('Retribuciones 2021'!$L$8*$E47*12,2)</f>
        <v>14068.32</v>
      </c>
      <c r="L47" s="53">
        <f>ROUND(VLOOKUP($C47,'Retribuciones 2021'!$H$7:$K$15,4,FALSE)*12,2)</f>
        <v>1842.6</v>
      </c>
      <c r="M47" s="155">
        <f t="shared" si="1"/>
        <v>23570.399999999998</v>
      </c>
      <c r="N47" s="156">
        <f t="shared" si="2"/>
        <v>41324.08</v>
      </c>
    </row>
    <row r="48" spans="1:14" s="62" customFormat="1" ht="12" customHeight="1">
      <c r="A48" s="153">
        <v>259</v>
      </c>
      <c r="B48" s="58" t="s">
        <v>105</v>
      </c>
      <c r="C48" s="51" t="s">
        <v>67</v>
      </c>
      <c r="D48" s="51">
        <v>16</v>
      </c>
      <c r="E48" s="51">
        <v>29</v>
      </c>
      <c r="F48" s="53">
        <f>ROUND(VLOOKUP($C48,'Retribuciones 2021'!$H$7:$L$15,2,FALSE)*12,2)</f>
        <v>7874.16</v>
      </c>
      <c r="G48" s="53">
        <f>VLOOKUP($C48,'Retribuciones 2021'!$N$7:$Q$15,3,FALSE)*2+ROUND(VLOOKUP($D48,'Retribuciones 2021'!$H$17:$I$48,2,FALSE)*2,2)</f>
        <v>2066.78</v>
      </c>
      <c r="H48" s="87">
        <f>ROUND(('Retribuciones 2021'!$L$8*$E48*$H$63),2)*2</f>
        <v>1282.96</v>
      </c>
      <c r="I48" s="154">
        <f t="shared" si="3"/>
        <v>11223.900000000001</v>
      </c>
      <c r="J48" s="53">
        <f>ROUND(VLOOKUP($D48,'Retribuciones 2021'!$H$17:$I$48,2,FALSE)*12,2)</f>
        <v>4598.28</v>
      </c>
      <c r="K48" s="53">
        <f>ROUND('Retribuciones 2021'!$L$8*$E48*12,2)</f>
        <v>7697.76</v>
      </c>
      <c r="L48" s="53">
        <f>ROUND(VLOOKUP($C48,'Retribuciones 2021'!$H$7:$K$15,4,FALSE)*12,2)</f>
        <v>1252.32</v>
      </c>
      <c r="M48" s="155">
        <f t="shared" si="1"/>
        <v>13548.36</v>
      </c>
      <c r="N48" s="156">
        <f t="shared" si="2"/>
        <v>24772.260000000002</v>
      </c>
    </row>
    <row r="49" spans="1:14" s="62" customFormat="1" ht="12" customHeight="1">
      <c r="A49" s="153">
        <v>260</v>
      </c>
      <c r="B49" s="58" t="s">
        <v>118</v>
      </c>
      <c r="C49" s="51" t="s">
        <v>67</v>
      </c>
      <c r="D49" s="51">
        <v>16</v>
      </c>
      <c r="E49" s="51">
        <v>28</v>
      </c>
      <c r="F49" s="53">
        <f>ROUND(VLOOKUP($C49,'Retribuciones 2021'!$H$7:$L$15,2,FALSE)*12,2)</f>
        <v>7874.16</v>
      </c>
      <c r="G49" s="53">
        <f>VLOOKUP($C49,'Retribuciones 2021'!$N$7:$Q$15,3,FALSE)*2+ROUND(VLOOKUP($D49,'Retribuciones 2021'!$H$17:$I$48,2,FALSE)*2,2)</f>
        <v>2066.78</v>
      </c>
      <c r="H49" s="87">
        <f>ROUND(('Retribuciones 2021'!$L$8*$E49*$H$63),2)*2</f>
        <v>1238.72</v>
      </c>
      <c r="I49" s="154">
        <f t="shared" si="3"/>
        <v>11179.66</v>
      </c>
      <c r="J49" s="53">
        <f>ROUND(VLOOKUP($D49,'Retribuciones 2021'!$H$17:$I$48,2,FALSE)*12,2)</f>
        <v>4598.28</v>
      </c>
      <c r="K49" s="53">
        <f>ROUND('Retribuciones 2021'!$L$8*$E49*12,2)</f>
        <v>7432.32</v>
      </c>
      <c r="L49" s="53">
        <f>ROUND(VLOOKUP($C49,'Retribuciones 2021'!$H$7:$K$15,4,FALSE)*12,2)</f>
        <v>1252.32</v>
      </c>
      <c r="M49" s="155">
        <f t="shared" si="1"/>
        <v>13282.919999999998</v>
      </c>
      <c r="N49" s="156">
        <f t="shared" si="2"/>
        <v>24462.579999999998</v>
      </c>
    </row>
    <row r="50" spans="1:14" s="62" customFormat="1" ht="12" customHeight="1">
      <c r="A50" s="153">
        <v>261</v>
      </c>
      <c r="B50" s="58" t="s">
        <v>93</v>
      </c>
      <c r="C50" s="51" t="s">
        <v>67</v>
      </c>
      <c r="D50" s="51">
        <v>16</v>
      </c>
      <c r="E50" s="51">
        <v>28</v>
      </c>
      <c r="F50" s="53">
        <f>ROUND(VLOOKUP($C50,'Retribuciones 2021'!$H$7:$L$15,2,FALSE)*12,2)</f>
        <v>7874.16</v>
      </c>
      <c r="G50" s="53">
        <f>VLOOKUP($C50,'Retribuciones 2021'!$N$7:$Q$15,3,FALSE)*2+ROUND(VLOOKUP($D50,'Retribuciones 2021'!$H$17:$I$48,2,FALSE)*2,2)</f>
        <v>2066.78</v>
      </c>
      <c r="H50" s="87">
        <f>ROUND(('Retribuciones 2021'!$L$8*$E50*$H$63),2)*2</f>
        <v>1238.72</v>
      </c>
      <c r="I50" s="154">
        <f t="shared" si="3"/>
        <v>11179.66</v>
      </c>
      <c r="J50" s="53">
        <f>ROUND(VLOOKUP($D50,'Retribuciones 2021'!$H$17:$I$48,2,FALSE)*12,2)</f>
        <v>4598.28</v>
      </c>
      <c r="K50" s="53">
        <f>ROUND('Retribuciones 2021'!$L$8*$E50*12,2)</f>
        <v>7432.32</v>
      </c>
      <c r="L50" s="53">
        <f>ROUND(VLOOKUP($C50,'Retribuciones 2021'!$H$7:$K$15,4,FALSE)*12,2)</f>
        <v>1252.32</v>
      </c>
      <c r="M50" s="155">
        <f t="shared" si="1"/>
        <v>13282.919999999998</v>
      </c>
      <c r="N50" s="156">
        <f t="shared" si="2"/>
        <v>24462.579999999998</v>
      </c>
    </row>
    <row r="51" spans="1:14" s="62" customFormat="1" ht="12" customHeight="1">
      <c r="A51" s="153">
        <v>262</v>
      </c>
      <c r="B51" s="58" t="s">
        <v>94</v>
      </c>
      <c r="C51" s="51" t="s">
        <v>67</v>
      </c>
      <c r="D51" s="51">
        <v>16</v>
      </c>
      <c r="E51" s="51">
        <v>28</v>
      </c>
      <c r="F51" s="53">
        <f>ROUND(VLOOKUP($C51,'Retribuciones 2021'!$H$7:$L$15,2,FALSE)*12,2)</f>
        <v>7874.16</v>
      </c>
      <c r="G51" s="53">
        <f>VLOOKUP($C51,'Retribuciones 2021'!$N$7:$Q$15,3,FALSE)*2+ROUND(VLOOKUP($D51,'Retribuciones 2021'!$H$17:$I$48,2,FALSE)*2,2)</f>
        <v>2066.78</v>
      </c>
      <c r="H51" s="87">
        <f>ROUND(('Retribuciones 2021'!$L$8*$E51*$H$63),2)*2</f>
        <v>1238.72</v>
      </c>
      <c r="I51" s="154">
        <f t="shared" si="3"/>
        <v>11179.66</v>
      </c>
      <c r="J51" s="53">
        <f>ROUND(VLOOKUP($D51,'Retribuciones 2021'!$H$17:$I$48,2,FALSE)*12,2)</f>
        <v>4598.28</v>
      </c>
      <c r="K51" s="53">
        <f>ROUND('Retribuciones 2021'!$L$8*$E51*12,2)</f>
        <v>7432.32</v>
      </c>
      <c r="L51" s="53">
        <f>ROUND(VLOOKUP($C51,'Retribuciones 2021'!$H$7:$K$15,4,FALSE)*12,2)</f>
        <v>1252.32</v>
      </c>
      <c r="M51" s="155">
        <f t="shared" si="1"/>
        <v>13282.919999999998</v>
      </c>
      <c r="N51" s="156">
        <f t="shared" si="2"/>
        <v>24462.579999999998</v>
      </c>
    </row>
    <row r="52" spans="1:14" s="65" customFormat="1" ht="12" customHeight="1">
      <c r="A52" s="153">
        <v>263</v>
      </c>
      <c r="B52" s="58" t="s">
        <v>116</v>
      </c>
      <c r="C52" s="51" t="s">
        <v>67</v>
      </c>
      <c r="D52" s="51">
        <v>16</v>
      </c>
      <c r="E52" s="51">
        <v>28</v>
      </c>
      <c r="F52" s="53">
        <f>ROUND(VLOOKUP($C52,'Retribuciones 2021'!$H$7:$L$15,2,FALSE)*12,2)</f>
        <v>7874.16</v>
      </c>
      <c r="G52" s="53">
        <f>VLOOKUP($C52,'Retribuciones 2021'!$N$7:$Q$15,3,FALSE)*2+ROUND(VLOOKUP($D52,'Retribuciones 2021'!$H$17:$I$48,2,FALSE)*2,2)</f>
        <v>2066.78</v>
      </c>
      <c r="H52" s="87">
        <f>ROUND(('Retribuciones 2021'!$L$8*$E52*$H$63),2)*2</f>
        <v>1238.72</v>
      </c>
      <c r="I52" s="154">
        <f t="shared" si="3"/>
        <v>11179.66</v>
      </c>
      <c r="J52" s="53">
        <f>ROUND(VLOOKUP($D52,'Retribuciones 2021'!$H$17:$I$48,2,FALSE)*12,2)</f>
        <v>4598.28</v>
      </c>
      <c r="K52" s="53">
        <f>ROUND('Retribuciones 2021'!$L$8*$E52*12,2)</f>
        <v>7432.32</v>
      </c>
      <c r="L52" s="53">
        <f>ROUND(VLOOKUP($C52,'Retribuciones 2021'!$H$7:$K$15,4,FALSE)*12,2)</f>
        <v>1252.32</v>
      </c>
      <c r="M52" s="155">
        <f t="shared" si="1"/>
        <v>13282.919999999998</v>
      </c>
      <c r="N52" s="156">
        <f t="shared" si="2"/>
        <v>24462.579999999998</v>
      </c>
    </row>
    <row r="53" spans="1:14" s="62" customFormat="1" ht="12" customHeight="1">
      <c r="A53" s="153">
        <v>264</v>
      </c>
      <c r="B53" s="58" t="s">
        <v>95</v>
      </c>
      <c r="C53" s="51" t="s">
        <v>67</v>
      </c>
      <c r="D53" s="51">
        <v>16</v>
      </c>
      <c r="E53" s="51">
        <v>28</v>
      </c>
      <c r="F53" s="53">
        <f>ROUND(VLOOKUP($C53,'Retribuciones 2021'!$H$7:$L$15,2,FALSE)*12,2)</f>
        <v>7874.16</v>
      </c>
      <c r="G53" s="53">
        <f>VLOOKUP($C53,'Retribuciones 2021'!$N$7:$Q$15,3,FALSE)*2+ROUND(VLOOKUP($D53,'Retribuciones 2021'!$H$17:$I$48,2,FALSE)*2,2)</f>
        <v>2066.78</v>
      </c>
      <c r="H53" s="87">
        <f>ROUND(('Retribuciones 2021'!$L$8*$E53*$H$63),2)*2</f>
        <v>1238.72</v>
      </c>
      <c r="I53" s="154">
        <f t="shared" si="3"/>
        <v>11179.66</v>
      </c>
      <c r="J53" s="53">
        <f>ROUND(VLOOKUP($D53,'Retribuciones 2021'!$H$17:$I$48,2,FALSE)*12,2)</f>
        <v>4598.28</v>
      </c>
      <c r="K53" s="53">
        <f>ROUND('Retribuciones 2021'!$L$8*$E53*12,2)</f>
        <v>7432.32</v>
      </c>
      <c r="L53" s="53">
        <f>ROUND(VLOOKUP($C53,'Retribuciones 2021'!$H$7:$K$15,4,FALSE)*12,2)</f>
        <v>1252.32</v>
      </c>
      <c r="M53" s="155">
        <f t="shared" si="1"/>
        <v>13282.919999999998</v>
      </c>
      <c r="N53" s="156">
        <f t="shared" si="2"/>
        <v>24462.579999999998</v>
      </c>
    </row>
    <row r="54" spans="1:14" s="62" customFormat="1" ht="12" customHeight="1">
      <c r="A54" s="153">
        <v>265</v>
      </c>
      <c r="B54" s="58" t="s">
        <v>96</v>
      </c>
      <c r="C54" s="51" t="s">
        <v>67</v>
      </c>
      <c r="D54" s="51">
        <v>16</v>
      </c>
      <c r="E54" s="51">
        <v>28</v>
      </c>
      <c r="F54" s="53">
        <f>ROUND(VLOOKUP($C54,'Retribuciones 2021'!$H$7:$L$15,2,FALSE)*12,2)</f>
        <v>7874.16</v>
      </c>
      <c r="G54" s="53">
        <f>VLOOKUP($C54,'Retribuciones 2021'!$N$7:$Q$15,3,FALSE)*2+ROUND(VLOOKUP($D54,'Retribuciones 2021'!$H$17:$I$48,2,FALSE)*2,2)</f>
        <v>2066.78</v>
      </c>
      <c r="H54" s="87">
        <f>ROUND(('Retribuciones 2021'!$L$8*$E54*$H$63),2)*2</f>
        <v>1238.72</v>
      </c>
      <c r="I54" s="154">
        <f t="shared" si="3"/>
        <v>11179.66</v>
      </c>
      <c r="J54" s="53">
        <f>ROUND(VLOOKUP($D54,'Retribuciones 2021'!$H$17:$I$48,2,FALSE)*12,2)</f>
        <v>4598.28</v>
      </c>
      <c r="K54" s="53">
        <f>ROUND('Retribuciones 2021'!$L$8*$E54*12,2)</f>
        <v>7432.32</v>
      </c>
      <c r="L54" s="53">
        <f>ROUND(VLOOKUP($C54,'Retribuciones 2021'!$H$7:$K$15,4,FALSE)*12,2)</f>
        <v>1252.32</v>
      </c>
      <c r="M54" s="155">
        <f t="shared" si="1"/>
        <v>13282.919999999998</v>
      </c>
      <c r="N54" s="156">
        <f t="shared" si="2"/>
        <v>24462.579999999998</v>
      </c>
    </row>
    <row r="55" spans="1:14" s="62" customFormat="1" ht="12" customHeight="1">
      <c r="A55" s="153">
        <v>266</v>
      </c>
      <c r="B55" s="58" t="s">
        <v>97</v>
      </c>
      <c r="C55" s="51" t="s">
        <v>67</v>
      </c>
      <c r="D55" s="51">
        <v>16</v>
      </c>
      <c r="E55" s="51">
        <v>28</v>
      </c>
      <c r="F55" s="53">
        <f>ROUND(VLOOKUP($C55,'Retribuciones 2021'!$H$7:$L$15,2,FALSE)*12,2)</f>
        <v>7874.16</v>
      </c>
      <c r="G55" s="53">
        <f>VLOOKUP($C55,'Retribuciones 2021'!$N$7:$Q$15,3,FALSE)*2+ROUND(VLOOKUP($D55,'Retribuciones 2021'!$H$17:$I$48,2,FALSE)*2,2)</f>
        <v>2066.78</v>
      </c>
      <c r="H55" s="87">
        <f>ROUND(('Retribuciones 2021'!$L$8*$E55*$H$63),2)*2</f>
        <v>1238.72</v>
      </c>
      <c r="I55" s="154">
        <f t="shared" si="3"/>
        <v>11179.66</v>
      </c>
      <c r="J55" s="53">
        <f>ROUND(VLOOKUP($D55,'Retribuciones 2021'!$H$17:$I$48,2,FALSE)*12,2)</f>
        <v>4598.28</v>
      </c>
      <c r="K55" s="53">
        <f>ROUND('Retribuciones 2021'!$L$8*$E55*12,2)</f>
        <v>7432.32</v>
      </c>
      <c r="L55" s="53">
        <f>ROUND(VLOOKUP($C55,'Retribuciones 2021'!$H$7:$K$15,4,FALSE)*12,2)</f>
        <v>1252.32</v>
      </c>
      <c r="M55" s="155">
        <f t="shared" si="1"/>
        <v>13282.919999999998</v>
      </c>
      <c r="N55" s="156">
        <f t="shared" si="2"/>
        <v>24462.579999999998</v>
      </c>
    </row>
    <row r="56" spans="1:14" s="60" customFormat="1" ht="12" customHeight="1">
      <c r="A56" s="153">
        <v>267</v>
      </c>
      <c r="B56" s="58" t="s">
        <v>98</v>
      </c>
      <c r="C56" s="51" t="s">
        <v>67</v>
      </c>
      <c r="D56" s="51">
        <v>14</v>
      </c>
      <c r="E56" s="51">
        <v>25</v>
      </c>
      <c r="F56" s="53">
        <f>ROUND(VLOOKUP($C56,'Retribuciones 2021'!$H$7:$L$15,2,FALSE)*12,2)</f>
        <v>7874.16</v>
      </c>
      <c r="G56" s="53">
        <f>VLOOKUP($C56,'Retribuciones 2021'!$N$7:$Q$15,3,FALSE)*2+ROUND(VLOOKUP($D56,'Retribuciones 2021'!$H$17:$I$48,2,FALSE)*2,2)</f>
        <v>1968.44</v>
      </c>
      <c r="H56" s="87">
        <f>ROUND(('Retribuciones 2021'!$L$8*$E56*$H$63),2)*2</f>
        <v>1106</v>
      </c>
      <c r="I56" s="154">
        <f t="shared" si="3"/>
        <v>10948.6</v>
      </c>
      <c r="J56" s="53">
        <f>ROUND(VLOOKUP($D56,'Retribuciones 2021'!$H$17:$I$48,2,FALSE)*12,2)</f>
        <v>4008.24</v>
      </c>
      <c r="K56" s="53">
        <f>ROUND('Retribuciones 2021'!$L$8*$E56*12,2)</f>
        <v>6636</v>
      </c>
      <c r="L56" s="53">
        <f>ROUND(VLOOKUP($C56,'Retribuciones 2021'!$H$7:$K$15,4,FALSE)*12,2)</f>
        <v>1252.32</v>
      </c>
      <c r="M56" s="155">
        <f t="shared" si="1"/>
        <v>11896.56</v>
      </c>
      <c r="N56" s="156">
        <f t="shared" si="2"/>
        <v>22845.16</v>
      </c>
    </row>
    <row r="57" spans="1:226" s="57" customFormat="1" ht="12" customHeight="1">
      <c r="A57" s="153">
        <v>271</v>
      </c>
      <c r="B57" s="58" t="s">
        <v>120</v>
      </c>
      <c r="C57" s="51" t="s">
        <v>67</v>
      </c>
      <c r="D57" s="51">
        <v>16</v>
      </c>
      <c r="E57" s="51">
        <v>29</v>
      </c>
      <c r="F57" s="53">
        <f>ROUND(VLOOKUP($C57,'Retribuciones 2021'!$H$7:$L$15,2,FALSE)*12,2)</f>
        <v>7874.16</v>
      </c>
      <c r="G57" s="53">
        <f>VLOOKUP($C57,'Retribuciones 2021'!$N$7:$Q$15,3,FALSE)*2+ROUND(VLOOKUP($D57,'Retribuciones 2021'!$H$17:$I$48,2,FALSE)*2,2)</f>
        <v>2066.78</v>
      </c>
      <c r="H57" s="87">
        <f>ROUND(('Retribuciones 2021'!$L$8*$E57*$H$63),2)*2</f>
        <v>1282.96</v>
      </c>
      <c r="I57" s="154">
        <f t="shared" si="3"/>
        <v>11223.900000000001</v>
      </c>
      <c r="J57" s="53">
        <f>ROUND(VLOOKUP($D57,'Retribuciones 2021'!$H$17:$I$48,2,FALSE)*12,2)</f>
        <v>4598.28</v>
      </c>
      <c r="K57" s="53">
        <f>ROUND('Retribuciones 2021'!$L$8*$E57*12,2)</f>
        <v>7697.76</v>
      </c>
      <c r="L57" s="53">
        <f>ROUND(VLOOKUP($C57,'Retribuciones 2021'!$H$7:$K$15,4,FALSE)*12,2)</f>
        <v>1252.32</v>
      </c>
      <c r="M57" s="155">
        <f t="shared" si="1"/>
        <v>13548.36</v>
      </c>
      <c r="N57" s="156">
        <f t="shared" si="2"/>
        <v>24772.260000000002</v>
      </c>
      <c r="O57" s="53"/>
      <c r="P57" s="70"/>
      <c r="Q57" s="56"/>
      <c r="R57" s="58"/>
      <c r="S57" s="56"/>
      <c r="T57" s="51"/>
      <c r="U57" s="51"/>
      <c r="V57" s="51"/>
      <c r="W57" s="53"/>
      <c r="X57" s="54"/>
      <c r="Y57" s="53"/>
      <c r="Z57" s="53"/>
      <c r="AA57" s="54"/>
      <c r="AB57" s="68"/>
      <c r="AC57" s="53"/>
      <c r="AD57" s="53"/>
      <c r="AE57" s="55"/>
      <c r="AF57" s="69"/>
      <c r="AG57" s="69"/>
      <c r="AH57" s="69"/>
      <c r="AI57" s="70"/>
      <c r="AJ57" s="55"/>
      <c r="AK57" s="70"/>
      <c r="AL57" s="53"/>
      <c r="AM57" s="70"/>
      <c r="AN57" s="56"/>
      <c r="AO57" s="58"/>
      <c r="AP57" s="56"/>
      <c r="AQ57" s="51"/>
      <c r="AR57" s="51"/>
      <c r="AS57" s="51"/>
      <c r="AT57" s="53"/>
      <c r="AU57" s="54"/>
      <c r="AV57" s="53"/>
      <c r="AW57" s="53"/>
      <c r="AX57" s="54"/>
      <c r="AY57" s="68"/>
      <c r="AZ57" s="53"/>
      <c r="BA57" s="53"/>
      <c r="BB57" s="55"/>
      <c r="BC57" s="69"/>
      <c r="BD57" s="69"/>
      <c r="BE57" s="69"/>
      <c r="BF57" s="70"/>
      <c r="BG57" s="55"/>
      <c r="BH57" s="70"/>
      <c r="BI57" s="53"/>
      <c r="BJ57" s="70"/>
      <c r="BK57" s="56"/>
      <c r="BL57" s="58"/>
      <c r="BM57" s="56"/>
      <c r="BN57" s="51"/>
      <c r="BO57" s="51"/>
      <c r="BP57" s="51"/>
      <c r="BQ57" s="53"/>
      <c r="BR57" s="54"/>
      <c r="BS57" s="53"/>
      <c r="BT57" s="53"/>
      <c r="BU57" s="54"/>
      <c r="BV57" s="68"/>
      <c r="BW57" s="53"/>
      <c r="BX57" s="53"/>
      <c r="BY57" s="55"/>
      <c r="BZ57" s="69"/>
      <c r="CA57" s="69"/>
      <c r="CB57" s="69"/>
      <c r="CC57" s="70"/>
      <c r="CD57" s="55"/>
      <c r="CE57" s="70"/>
      <c r="CF57" s="53"/>
      <c r="CG57" s="70"/>
      <c r="CH57" s="56"/>
      <c r="CI57" s="58"/>
      <c r="CJ57" s="56"/>
      <c r="CK57" s="51"/>
      <c r="CL57" s="51"/>
      <c r="CM57" s="51"/>
      <c r="CN57" s="53"/>
      <c r="CO57" s="54"/>
      <c r="CP57" s="53"/>
      <c r="CQ57" s="53"/>
      <c r="CR57" s="54"/>
      <c r="CS57" s="68"/>
      <c r="CT57" s="53"/>
      <c r="CU57" s="53"/>
      <c r="CV57" s="55"/>
      <c r="CW57" s="69"/>
      <c r="CX57" s="69"/>
      <c r="CY57" s="69"/>
      <c r="CZ57" s="70"/>
      <c r="DA57" s="55"/>
      <c r="DB57" s="70"/>
      <c r="DC57" s="53"/>
      <c r="DD57" s="70"/>
      <c r="DE57" s="56"/>
      <c r="DF57" s="58"/>
      <c r="DG57" s="56"/>
      <c r="DH57" s="51"/>
      <c r="DI57" s="51"/>
      <c r="DJ57" s="51"/>
      <c r="DK57" s="53"/>
      <c r="DL57" s="54"/>
      <c r="DM57" s="53"/>
      <c r="DN57" s="53"/>
      <c r="DO57" s="54"/>
      <c r="DP57" s="68"/>
      <c r="DQ57" s="53"/>
      <c r="DR57" s="53"/>
      <c r="DS57" s="55"/>
      <c r="DT57" s="69"/>
      <c r="DU57" s="69"/>
      <c r="DV57" s="69"/>
      <c r="DW57" s="70"/>
      <c r="DX57" s="55"/>
      <c r="DY57" s="70"/>
      <c r="DZ57" s="53"/>
      <c r="EA57" s="70"/>
      <c r="EB57" s="56"/>
      <c r="EC57" s="58"/>
      <c r="ED57" s="56"/>
      <c r="EE57" s="51"/>
      <c r="EF57" s="51"/>
      <c r="EG57" s="51"/>
      <c r="EH57" s="53"/>
      <c r="EI57" s="54"/>
      <c r="EJ57" s="53"/>
      <c r="EK57" s="53"/>
      <c r="EL57" s="54"/>
      <c r="EM57" s="68"/>
      <c r="EN57" s="53"/>
      <c r="EO57" s="53"/>
      <c r="EP57" s="55"/>
      <c r="EQ57" s="69"/>
      <c r="ER57" s="69"/>
      <c r="ES57" s="69"/>
      <c r="ET57" s="70"/>
      <c r="EU57" s="55"/>
      <c r="EV57" s="70"/>
      <c r="EW57" s="53"/>
      <c r="EX57" s="70"/>
      <c r="EY57" s="56"/>
      <c r="EZ57" s="58"/>
      <c r="FA57" s="56"/>
      <c r="FB57" s="51"/>
      <c r="FC57" s="51"/>
      <c r="FD57" s="51"/>
      <c r="FE57" s="53"/>
      <c r="FF57" s="54"/>
      <c r="FG57" s="53"/>
      <c r="FH57" s="53"/>
      <c r="FI57" s="54"/>
      <c r="FJ57" s="68"/>
      <c r="FK57" s="53"/>
      <c r="FL57" s="53"/>
      <c r="FM57" s="55"/>
      <c r="FN57" s="69"/>
      <c r="FO57" s="69"/>
      <c r="FP57" s="69"/>
      <c r="FQ57" s="70"/>
      <c r="FR57" s="55"/>
      <c r="FS57" s="70"/>
      <c r="FT57" s="53"/>
      <c r="FU57" s="70"/>
      <c r="FV57" s="56"/>
      <c r="FW57" s="58"/>
      <c r="FX57" s="56"/>
      <c r="FY57" s="51"/>
      <c r="FZ57" s="51"/>
      <c r="GA57" s="51"/>
      <c r="GB57" s="53"/>
      <c r="GC57" s="54"/>
      <c r="GD57" s="53"/>
      <c r="GE57" s="53"/>
      <c r="GF57" s="54"/>
      <c r="GG57" s="68"/>
      <c r="GH57" s="53"/>
      <c r="GI57" s="53"/>
      <c r="GJ57" s="55"/>
      <c r="GK57" s="69"/>
      <c r="GL57" s="69"/>
      <c r="GM57" s="69"/>
      <c r="GN57" s="70"/>
      <c r="GO57" s="55"/>
      <c r="GP57" s="70"/>
      <c r="GQ57" s="53"/>
      <c r="GR57" s="70"/>
      <c r="GS57" s="56"/>
      <c r="GT57" s="58"/>
      <c r="GU57" s="56"/>
      <c r="GV57" s="51"/>
      <c r="GW57" s="51"/>
      <c r="GX57" s="51"/>
      <c r="GY57" s="53"/>
      <c r="GZ57" s="54"/>
      <c r="HA57" s="53"/>
      <c r="HB57" s="53"/>
      <c r="HC57" s="54"/>
      <c r="HD57" s="68"/>
      <c r="HE57" s="53"/>
      <c r="HF57" s="53"/>
      <c r="HG57" s="55"/>
      <c r="HH57" s="69"/>
      <c r="HI57" s="69"/>
      <c r="HJ57" s="69"/>
      <c r="HK57" s="70"/>
      <c r="HL57" s="55"/>
      <c r="HM57" s="70"/>
      <c r="HN57" s="53"/>
      <c r="HO57" s="70"/>
      <c r="HP57" s="56"/>
      <c r="HQ57" s="58"/>
      <c r="HR57" s="56"/>
    </row>
    <row r="58" spans="1:14" s="57" customFormat="1" ht="12" customHeight="1">
      <c r="A58" s="153">
        <v>272</v>
      </c>
      <c r="B58" s="58" t="s">
        <v>121</v>
      </c>
      <c r="C58" s="51" t="s">
        <v>67</v>
      </c>
      <c r="D58" s="51">
        <v>16</v>
      </c>
      <c r="E58" s="51">
        <v>29</v>
      </c>
      <c r="F58" s="53">
        <f>ROUND(VLOOKUP($C58,'Retribuciones 2021'!$H$7:$L$15,2,FALSE)*12,2)</f>
        <v>7874.16</v>
      </c>
      <c r="G58" s="53">
        <f>VLOOKUP($C58,'Retribuciones 2021'!$N$7:$Q$15,3,FALSE)*2+ROUND(VLOOKUP($D58,'Retribuciones 2021'!$H$17:$I$48,2,FALSE)*2,2)</f>
        <v>2066.78</v>
      </c>
      <c r="H58" s="87">
        <f>ROUND(('Retribuciones 2021'!$L$8*$E58*$H$63),2)*2</f>
        <v>1282.96</v>
      </c>
      <c r="I58" s="154">
        <f t="shared" si="3"/>
        <v>11223.900000000001</v>
      </c>
      <c r="J58" s="53">
        <f>ROUND(VLOOKUP($D58,'Retribuciones 2021'!$H$17:$I$48,2,FALSE)*12,2)</f>
        <v>4598.28</v>
      </c>
      <c r="K58" s="53">
        <f>ROUND('Retribuciones 2021'!$L$8*$E58*12,2)</f>
        <v>7697.76</v>
      </c>
      <c r="L58" s="53">
        <f>ROUND(VLOOKUP($C58,'Retribuciones 2021'!$H$7:$K$15,4,FALSE)*12,2)</f>
        <v>1252.32</v>
      </c>
      <c r="M58" s="155">
        <f t="shared" si="1"/>
        <v>13548.36</v>
      </c>
      <c r="N58" s="156">
        <f t="shared" si="2"/>
        <v>24772.260000000002</v>
      </c>
    </row>
    <row r="59" spans="1:14" s="15" customFormat="1" ht="12" customHeight="1" thickBot="1">
      <c r="A59" s="158">
        <v>273</v>
      </c>
      <c r="B59" s="159" t="s">
        <v>142</v>
      </c>
      <c r="C59" s="160" t="s">
        <v>67</v>
      </c>
      <c r="D59" s="160">
        <v>16</v>
      </c>
      <c r="E59" s="160">
        <v>29</v>
      </c>
      <c r="F59" s="161">
        <f>ROUND(VLOOKUP($C59,'Retribuciones 2021'!$H$7:$L$15,2,FALSE)*12,2)</f>
        <v>7874.16</v>
      </c>
      <c r="G59" s="161">
        <f>VLOOKUP($C59,'Retribuciones 2021'!$N$7:$Q$15,3,FALSE)*2+ROUND(VLOOKUP($D59,'Retribuciones 2021'!$H$17:$I$48,2,FALSE)*2,2)</f>
        <v>2066.78</v>
      </c>
      <c r="H59" s="162">
        <f>ROUND(('Retribuciones 2021'!$L$8*$E59*$H$63),2)*2</f>
        <v>1282.96</v>
      </c>
      <c r="I59" s="163">
        <f t="shared" si="3"/>
        <v>11223.900000000001</v>
      </c>
      <c r="J59" s="161">
        <f>ROUND(VLOOKUP($D59,'Retribuciones 2021'!$H$17:$I$48,2,FALSE)*12,2)</f>
        <v>4598.28</v>
      </c>
      <c r="K59" s="161">
        <f>ROUND('Retribuciones 2021'!$L$8*$E59*12,2)</f>
        <v>7697.76</v>
      </c>
      <c r="L59" s="161">
        <f>ROUND(VLOOKUP($C59,'Retribuciones 2021'!$H$7:$K$15,4,FALSE)*12,2)</f>
        <v>1252.32</v>
      </c>
      <c r="M59" s="164">
        <f t="shared" si="1"/>
        <v>13548.36</v>
      </c>
      <c r="N59" s="165">
        <f t="shared" si="2"/>
        <v>24772.260000000002</v>
      </c>
    </row>
    <row r="60" spans="1:14" s="15" customFormat="1" ht="12" customHeight="1">
      <c r="A60" s="2"/>
      <c r="B60" s="40"/>
      <c r="C60" s="21"/>
      <c r="D60" s="21"/>
      <c r="E60" s="21"/>
      <c r="F60" s="20"/>
      <c r="G60" s="20"/>
      <c r="H60" s="20"/>
      <c r="I60" s="38"/>
      <c r="J60" s="53"/>
      <c r="K60" s="20"/>
      <c r="L60" s="20"/>
      <c r="M60" s="39"/>
      <c r="N60" s="39"/>
    </row>
    <row r="61" spans="1:14" s="15" customFormat="1" ht="12" customHeight="1">
      <c r="A61" s="2"/>
      <c r="B61" s="40"/>
      <c r="C61" s="21"/>
      <c r="D61" s="21"/>
      <c r="E61" s="21"/>
      <c r="F61" s="20"/>
      <c r="G61" s="20"/>
      <c r="H61" s="20"/>
      <c r="I61" s="38"/>
      <c r="J61" s="20"/>
      <c r="K61" s="20"/>
      <c r="L61" s="12"/>
      <c r="M61" s="39"/>
      <c r="N61" s="39"/>
    </row>
    <row r="62" spans="2:14" ht="12" customHeight="1">
      <c r="B62" s="31"/>
      <c r="C62" s="31"/>
      <c r="D62" s="9"/>
      <c r="E62" s="46"/>
      <c r="F62" s="13"/>
      <c r="G62" s="8"/>
      <c r="H62" s="8"/>
      <c r="I62" s="18"/>
      <c r="J62" s="48"/>
      <c r="K62" s="13"/>
      <c r="L62" s="48"/>
      <c r="M62" s="28"/>
      <c r="N62" s="28"/>
    </row>
    <row r="63" spans="1:14" ht="12" customHeight="1">
      <c r="A63" s="9"/>
      <c r="B63" s="59"/>
      <c r="C63" s="9"/>
      <c r="D63" s="9"/>
      <c r="E63" s="5"/>
      <c r="F63" s="9"/>
      <c r="G63" s="9"/>
      <c r="H63" s="36">
        <v>1</v>
      </c>
      <c r="I63" s="4"/>
      <c r="J63" s="48"/>
      <c r="K63" s="9"/>
      <c r="L63" s="4"/>
      <c r="M63" s="9"/>
      <c r="N63" s="9"/>
    </row>
    <row r="64" spans="10:14" ht="12.75">
      <c r="J64" s="48"/>
      <c r="N64" s="14"/>
    </row>
    <row r="65" spans="10:14" ht="12.75">
      <c r="J65" s="48"/>
      <c r="N65" s="14"/>
    </row>
    <row r="66" spans="10:14" ht="12.75">
      <c r="J66" s="48"/>
      <c r="N66" s="14"/>
    </row>
    <row r="67" spans="10:14" ht="12.75">
      <c r="J67" s="48"/>
      <c r="N67" s="14"/>
    </row>
    <row r="68" spans="10:14" ht="12.75">
      <c r="J68" s="48"/>
      <c r="N68" s="14"/>
    </row>
    <row r="69" spans="10:14" ht="12.75">
      <c r="J69" s="48"/>
      <c r="N69" s="14"/>
    </row>
    <row r="70" spans="10:14" ht="12.75">
      <c r="J70" s="48"/>
      <c r="N70" s="14"/>
    </row>
    <row r="71" spans="10:14" ht="12.75">
      <c r="J71" s="48"/>
      <c r="N71" s="14"/>
    </row>
    <row r="72" spans="10:14" ht="12.75">
      <c r="J72" s="48"/>
      <c r="N72" s="14"/>
    </row>
    <row r="73" spans="10:14" ht="12.75">
      <c r="J73" s="48"/>
      <c r="N73" s="14"/>
    </row>
    <row r="74" spans="10:14" ht="12.75">
      <c r="J74" s="48"/>
      <c r="N74" s="14"/>
    </row>
    <row r="75" spans="10:14" ht="12.75">
      <c r="J75" s="48"/>
      <c r="N75" s="14"/>
    </row>
    <row r="76" spans="10:14" ht="12.75">
      <c r="J76" s="48"/>
      <c r="N76" s="14"/>
    </row>
    <row r="77" spans="10:14" ht="12.75">
      <c r="J77" s="48"/>
      <c r="N77" s="14"/>
    </row>
    <row r="78" spans="10:14" ht="12.75">
      <c r="J78" s="48"/>
      <c r="N78" s="14"/>
    </row>
    <row r="79" spans="4:14" ht="12.75">
      <c r="D79" s="14">
        <f>SUM('Laborales 2021'!$D$60:$D$78)</f>
        <v>0</v>
      </c>
      <c r="J79" s="48"/>
      <c r="N79" s="14"/>
    </row>
    <row r="80" spans="10:14" ht="12.75">
      <c r="J80" s="48"/>
      <c r="N80" s="14"/>
    </row>
    <row r="81" spans="10:14" ht="12.75">
      <c r="J81" s="48"/>
      <c r="N81" s="14"/>
    </row>
    <row r="82" spans="10:14" ht="12.75">
      <c r="J82" s="48"/>
      <c r="N82" s="14"/>
    </row>
    <row r="83" spans="10:14" ht="12.75">
      <c r="J83" s="48"/>
      <c r="N83" s="14"/>
    </row>
    <row r="84" spans="10:14" ht="12.75">
      <c r="J84" s="48"/>
      <c r="N84" s="14"/>
    </row>
    <row r="85" spans="10:14" ht="12.75">
      <c r="J85" s="48"/>
      <c r="N85" s="14"/>
    </row>
    <row r="86" spans="10:14" ht="12.75">
      <c r="J86" s="48"/>
      <c r="N86" s="14"/>
    </row>
    <row r="87" spans="10:14" ht="12.75">
      <c r="J87" s="48"/>
      <c r="N87" s="14"/>
    </row>
    <row r="88" ht="12.75">
      <c r="N88" s="14"/>
    </row>
    <row r="89" ht="12.75">
      <c r="N89" s="14"/>
    </row>
    <row r="90" ht="12.75">
      <c r="N90" s="14"/>
    </row>
    <row r="91" ht="12.75">
      <c r="N91" s="14"/>
    </row>
    <row r="92" ht="12.75">
      <c r="N92" s="14"/>
    </row>
    <row r="93" ht="12.75">
      <c r="N93" s="14"/>
    </row>
    <row r="94" ht="12.75">
      <c r="N94" s="14"/>
    </row>
    <row r="95" ht="12.75">
      <c r="N95" s="14"/>
    </row>
    <row r="96" ht="12.75">
      <c r="N96" s="14"/>
    </row>
    <row r="97" ht="12.75">
      <c r="N97" s="14"/>
    </row>
    <row r="98" ht="12.75">
      <c r="N98" s="14"/>
    </row>
    <row r="99" ht="12.75">
      <c r="N99" s="14"/>
    </row>
    <row r="100" ht="12.75">
      <c r="N100" s="14"/>
    </row>
    <row r="101" ht="12.75">
      <c r="N101" s="14"/>
    </row>
    <row r="102" ht="12.75">
      <c r="N102" s="14"/>
    </row>
    <row r="103" ht="12.75">
      <c r="N103" s="14"/>
    </row>
    <row r="104" ht="12.75">
      <c r="N104" s="14"/>
    </row>
    <row r="105" ht="12.75">
      <c r="N105" s="14"/>
    </row>
    <row r="106" ht="12.75">
      <c r="N106" s="14"/>
    </row>
    <row r="107" ht="12.75">
      <c r="N107" s="14"/>
    </row>
    <row r="108" ht="12.75">
      <c r="N108" s="14"/>
    </row>
  </sheetData>
  <sheetProtection/>
  <mergeCells count="1">
    <mergeCell ref="G4:H4"/>
  </mergeCells>
  <printOptions horizontalCentered="1"/>
  <pageMargins left="0.2362204724409449" right="0.1968503937007874" top="0.5511811023622047" bottom="0.2362204724409449" header="0.2362204724409449" footer="0.15748031496062992"/>
  <pageSetup horizontalDpi="600" verticalDpi="600" orientation="landscape" paperSize="8" r:id="rId1"/>
  <headerFooter alignWithMargins="0">
    <oddFooter>&amp;L&amp;8&amp;F / &amp;A&amp;C&amp;8&amp;P / &amp;N&amp;R&amp;8&amp;D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view="pageBreakPreview" zoomScaleSheetLayoutView="100" zoomScalePageLayoutView="0" workbookViewId="0" topLeftCell="A1">
      <selection activeCell="E4" sqref="E4"/>
    </sheetView>
  </sheetViews>
  <sheetFormatPr defaultColWidth="11.421875" defaultRowHeight="12.75"/>
  <cols>
    <col min="1" max="1" width="33.57421875" style="0" customWidth="1"/>
    <col min="2" max="2" width="4.7109375" style="0" customWidth="1"/>
    <col min="3" max="3" width="11.7109375" style="0" bestFit="1" customWidth="1"/>
    <col min="5" max="5" width="15.421875" style="0" customWidth="1"/>
    <col min="6" max="6" width="12.7109375" style="0" customWidth="1"/>
    <col min="7" max="10" width="11.421875" style="0" customWidth="1"/>
    <col min="11" max="11" width="14.7109375" style="0" customWidth="1"/>
    <col min="12" max="18" width="11.421875" style="0" customWidth="1"/>
    <col min="19" max="19" width="12.140625" style="0" customWidth="1"/>
    <col min="20" max="22" width="11.421875" style="0" customWidth="1"/>
    <col min="23" max="23" width="14.57421875" style="0" customWidth="1"/>
    <col min="24" max="24" width="11.421875" style="0" customWidth="1"/>
    <col min="25" max="25" width="12.7109375" style="0" customWidth="1"/>
    <col min="26" max="26" width="11.421875" style="0" customWidth="1"/>
    <col min="27" max="27" width="7.8515625" style="0" customWidth="1"/>
  </cols>
  <sheetData>
    <row r="1" spans="1:20" ht="12.75">
      <c r="A1" s="14"/>
      <c r="B1" s="14"/>
      <c r="C1" s="14"/>
      <c r="D1" s="4"/>
      <c r="E1" s="19"/>
      <c r="F1" s="14"/>
      <c r="G1" s="27"/>
      <c r="H1" s="27"/>
      <c r="I1" s="27"/>
      <c r="J1" s="30"/>
      <c r="M1" s="27"/>
      <c r="N1" s="24"/>
      <c r="O1" s="16"/>
      <c r="P1" s="16"/>
      <c r="Q1" s="23"/>
      <c r="R1" s="25"/>
      <c r="S1" s="23"/>
      <c r="T1" s="22"/>
    </row>
    <row r="2" spans="1:19" s="75" customFormat="1" ht="15">
      <c r="A2" s="145" t="s">
        <v>135</v>
      </c>
      <c r="B2" s="145"/>
      <c r="C2" s="145"/>
      <c r="D2" s="145"/>
      <c r="E2" s="145"/>
      <c r="F2" s="145"/>
      <c r="G2" s="105"/>
      <c r="H2" s="105"/>
      <c r="I2" s="105"/>
      <c r="M2" s="105"/>
      <c r="N2" s="105"/>
      <c r="S2" s="106"/>
    </row>
    <row r="3" spans="1:14" ht="27" customHeight="1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32</v>
      </c>
      <c r="G3" s="26"/>
      <c r="H3" s="26"/>
      <c r="I3" s="26"/>
      <c r="J3" s="146"/>
      <c r="K3" s="146"/>
      <c r="L3" s="146"/>
      <c r="M3" s="26"/>
      <c r="N3" s="26"/>
    </row>
    <row r="4" spans="1:14" s="14" customFormat="1" ht="51" customHeight="1">
      <c r="A4" s="76" t="s">
        <v>5</v>
      </c>
      <c r="B4" s="76">
        <v>1</v>
      </c>
      <c r="C4" s="76">
        <v>1</v>
      </c>
      <c r="D4" s="77">
        <f>ROUND(80000/14*12,2)</f>
        <v>68571.43</v>
      </c>
      <c r="E4" s="77">
        <f>ROUND(80000/14*2,2)</f>
        <v>11428.57</v>
      </c>
      <c r="F4" s="77">
        <f>SUM(D4:E4)</f>
        <v>80000</v>
      </c>
      <c r="G4" s="13"/>
      <c r="H4" s="49"/>
      <c r="I4" s="50"/>
      <c r="J4" s="1"/>
      <c r="K4" s="1"/>
      <c r="L4" s="1"/>
      <c r="M4" s="49"/>
      <c r="N4" s="49"/>
    </row>
    <row r="5" spans="5:6" ht="12.75">
      <c r="E5" s="41"/>
      <c r="F5" s="10"/>
    </row>
    <row r="8" ht="12.75">
      <c r="C8" s="37"/>
    </row>
    <row r="9" ht="12.75">
      <c r="C9" s="37"/>
    </row>
    <row r="10" ht="12.75">
      <c r="C10" s="37"/>
    </row>
    <row r="11" ht="12.75">
      <c r="C11" s="37"/>
    </row>
    <row r="12" ht="12.75">
      <c r="C12" s="37"/>
    </row>
    <row r="13" spans="1:3" ht="12.75">
      <c r="A13" s="3"/>
      <c r="C13" s="37"/>
    </row>
    <row r="14" ht="12.75">
      <c r="C14" s="37"/>
    </row>
    <row r="15" spans="1:3" ht="12.75">
      <c r="A15" s="3"/>
      <c r="C15" s="37"/>
    </row>
    <row r="19" ht="12.75">
      <c r="A19" s="3"/>
    </row>
    <row r="20" spans="3:4" ht="12.75">
      <c r="C20" s="11"/>
      <c r="D20" s="11"/>
    </row>
    <row r="21" spans="3:4" ht="12.75">
      <c r="C21" s="11"/>
      <c r="D21" s="11"/>
    </row>
    <row r="22" ht="12.75">
      <c r="C22" s="11"/>
    </row>
    <row r="23" ht="12.75">
      <c r="C23" s="11"/>
    </row>
    <row r="25" spans="3:5" ht="12.75">
      <c r="C25" s="11"/>
      <c r="D25" s="11"/>
      <c r="E25" s="10"/>
    </row>
  </sheetData>
  <sheetProtection/>
  <mergeCells count="2">
    <mergeCell ref="A2:F2"/>
    <mergeCell ref="J3:L3"/>
  </mergeCells>
  <printOptions horizontalCentered="1" verticalCentered="1"/>
  <pageMargins left="0.7480314960629921" right="0.3937007874015748" top="0.5511811023622047" bottom="0.7480314960629921" header="0.3937007874015748" footer="0.31496062992125984"/>
  <pageSetup fitToHeight="1" fitToWidth="1" horizontalDpi="600" verticalDpi="600" orientation="portrait" paperSize="9" r:id="rId1"/>
  <headerFooter alignWithMargins="0">
    <oddFooter>&amp;L&amp;7&amp;F / &amp;A&amp;C&amp;7&amp;P / &amp;N&amp;R&amp;7&amp;D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Insular de Aguas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 de Juntas</dc:creator>
  <cp:keywords/>
  <dc:description/>
  <cp:lastModifiedBy>Sonia María Izquierdo Tabares</cp:lastModifiedBy>
  <cp:lastPrinted>2021-04-08T15:00:36Z</cp:lastPrinted>
  <dcterms:created xsi:type="dcterms:W3CDTF">2004-10-01T08:47:05Z</dcterms:created>
  <dcterms:modified xsi:type="dcterms:W3CDTF">2021-04-08T15:01:01Z</dcterms:modified>
  <cp:category/>
  <cp:version/>
  <cp:contentType/>
  <cp:contentStatus/>
</cp:coreProperties>
</file>